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BASMATHI RICE" sheetId="1" state="visible" r:id="rId3"/>
    <sheet name="Terry towel" sheetId="2" state="visible" r:id="rId4"/>
    <sheet name="Multi products costing sheet" sheetId="3" state="visible" r:id="rId5"/>
    <sheet name="Tin Packing -cost" sheetId="4" state="visible" r:id="rId6"/>
    <sheet name="Size -60 x 40cm Granites " sheetId="5" state="visible" r:id="rId7"/>
    <sheet name="Sq.ft" sheetId="6" state="visible" r:id="rId8"/>
    <sheet name="KG" sheetId="7" state="visible" r:id="rId9"/>
    <sheet name="Pieces" sheetId="8" state="visible" r:id="rId10"/>
    <sheet name="Tea (0.5)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<sst xmlns="http://schemas.openxmlformats.org/spreadsheetml/2006/main" count="322" uniqueCount="227">
  <si>
    <t xml:space="preserve">Price Working –BASMATI RICE</t>
  </si>
  <si>
    <t xml:space="preserve"> Price per KG</t>
  </si>
  <si>
    <t xml:space="preserve">Per 25 Kg – PP Bags</t>
  </si>
  <si>
    <t xml:space="preserve">Price per  1 Ton</t>
  </si>
  <si>
    <t xml:space="preserve">20FT- (  Loadability   24 M.Tons)</t>
  </si>
  <si>
    <t xml:space="preserve">Total number of bags loaded in 1x20ft</t>
  </si>
  <si>
    <t xml:space="preserve">Assumption</t>
  </si>
  <si>
    <t xml:space="preserve">Ex. Factory – Product Cost (in INR)</t>
  </si>
  <si>
    <t xml:space="preserve">1 USD = 81</t>
  </si>
  <si>
    <t xml:space="preserve">Margin  (in INR)</t>
  </si>
  <si>
    <t xml:space="preserve">20 FT container Loadability  = 24000 Kgs ( 24 M.T)</t>
  </si>
  <si>
    <t xml:space="preserve">Transports cost from factory to  port + CHA Expenses + THC BL(in INR)</t>
  </si>
  <si>
    <t xml:space="preserve">Freight Rate = USD 850 (+250 USD adding buffer) ( Actual Freight rate USD 600)</t>
  </si>
  <si>
    <t xml:space="preserve">Bank charges &amp; ECGC  (in INR)</t>
  </si>
  <si>
    <t xml:space="preserve">Ex factory Price = INR 98</t>
  </si>
  <si>
    <t xml:space="preserve">Total FOB price in INR</t>
  </si>
  <si>
    <t xml:space="preserve">Margin % =5%</t>
  </si>
  <si>
    <t xml:space="preserve">FOB price in USD</t>
  </si>
  <si>
    <t xml:space="preserve">Transporataion from factory to Port =20000</t>
  </si>
  <si>
    <t xml:space="preserve">Sea Freight upto Jebel Ali port, UAE (in USD)</t>
  </si>
  <si>
    <t xml:space="preserve">CHA + THC BL expenses= 50000</t>
  </si>
  <si>
    <t xml:space="preserve">CIF price ( with insurance ) (in USD)</t>
  </si>
  <si>
    <t xml:space="preserve">CIF price </t>
  </si>
  <si>
    <t xml:space="preserve"> </t>
  </si>
  <si>
    <t xml:space="preserve">Before  Quotation :  </t>
  </si>
  <si>
    <t xml:space="preserve">CIF 1368.10</t>
  </si>
  <si>
    <t xml:space="preserve">1) Ex- Factory /Port Delivery </t>
  </si>
  <si>
    <t xml:space="preserve">2) Including Packing cost / Not?</t>
  </si>
  <si>
    <t xml:space="preserve">3) Confirm Any Additional certificate like COC/ Legalisation applicable?</t>
  </si>
  <si>
    <t xml:space="preserve">4) Buyer required any third party Inspection?</t>
  </si>
  <si>
    <t xml:space="preserve">5)  Buyer Asked any Lab test report/ Not?</t>
  </si>
  <si>
    <t xml:space="preserve">6) Health Certificate / or any other certificate applicable?</t>
  </si>
  <si>
    <t xml:space="preserve">7) Freight Cost – 20 FT/ 40 FT</t>
  </si>
  <si>
    <t xml:space="preserve">8) Loadability fixed – 20 FT / 40 FT</t>
  </si>
  <si>
    <t xml:space="preserve">9) RODTEP % in FOB Value --- 1 %</t>
  </si>
  <si>
    <t xml:space="preserve">10)Draw Back% in FOB Value  -NIL </t>
  </si>
  <si>
    <t xml:space="preserve">Price Working –  Kitchen Terry Towels</t>
  </si>
  <si>
    <t xml:space="preserve"> Price per piece</t>
  </si>
  <si>
    <t xml:space="preserve">Price per carton ( No.of Pieces -96)</t>
  </si>
  <si>
    <t xml:space="preserve">40 FT load
In Cartons</t>
  </si>
  <si>
    <t xml:space="preserve">Total number of bags loaded in 1x40ft</t>
  </si>
  <si>
    <r>
      <rPr>
        <b val="true"/>
        <sz val="12"/>
        <rFont val="Arial"/>
        <family val="2"/>
        <charset val="1"/>
      </rPr>
      <t xml:space="preserve">Ex. Factory –</t>
    </r>
    <r>
      <rPr>
        <sz val="12"/>
        <rFont val="Arial"/>
        <family val="2"/>
        <charset val="1"/>
      </rPr>
      <t xml:space="preserve"> Product Cost (in INR)</t>
    </r>
  </si>
  <si>
    <t xml:space="preserve">1 USD =81</t>
  </si>
  <si>
    <t xml:space="preserve">40 FT Loadability container = 340   Cartons</t>
  </si>
  <si>
    <t xml:space="preserve">Freight Rate = USD 5500 (+300  USD adding buffer) ( Actual Freight rate USD 5200)</t>
  </si>
  <si>
    <t xml:space="preserve">Third party inspection</t>
  </si>
  <si>
    <t xml:space="preserve">Purchase Price = INR 65</t>
  </si>
  <si>
    <t xml:space="preserve">Margin % =10%</t>
  </si>
  <si>
    <t xml:space="preserve">Transporataion from factory to Port =25000</t>
  </si>
  <si>
    <t xml:space="preserve">Sea Freight upto  Rotterdam  Port /Netherlands    (in USD)</t>
  </si>
  <si>
    <t xml:space="preserve">RODTEP % in FOB Value --- 1 %</t>
  </si>
  <si>
    <t xml:space="preserve">Draw Back% in FOB Value  -NIL </t>
  </si>
  <si>
    <t xml:space="preserve">FINAL CIF PRICE IN USD </t>
  </si>
  <si>
    <t xml:space="preserve">CIF 109.10</t>
  </si>
  <si>
    <t xml:space="preserve">S.NO
</t>
  </si>
  <si>
    <t xml:space="preserve">NAME </t>
  </si>
  <si>
    <t xml:space="preserve">Supplier Name</t>
  </si>
  <si>
    <t xml:space="preserve">Packets in Kg</t>
  </si>
  <si>
    <t xml:space="preserve">Dividing  factor </t>
  </si>
  <si>
    <t xml:space="preserve">Required no of packets</t>
  </si>
  <si>
    <t xml:space="preserve">Total kg</t>
  </si>
  <si>
    <t xml:space="preserve"> CBM – Order Quantity</t>
  </si>
  <si>
    <t xml:space="preserve">Total CBM </t>
  </si>
  <si>
    <t xml:space="preserve">Excess quantity </t>
  </si>
  <si>
    <t xml:space="preserve">Excess total quantity </t>
  </si>
  <si>
    <t xml:space="preserve">Price per kg with GST </t>
  </si>
  <si>
    <t xml:space="preserve">GST %</t>
  </si>
  <si>
    <t xml:space="preserve">Price per kg with out GST </t>
  </si>
  <si>
    <t xml:space="preserve">Price per kg without GST – Excess Qty</t>
  </si>
  <si>
    <t xml:space="preserve">Prices per Pockets without GST</t>
  </si>
  <si>
    <t xml:space="preserve">Retail Packing Charge per kg (Rs)</t>
  </si>
  <si>
    <t xml:space="preserve">Product cost per Kg</t>
  </si>
  <si>
    <t xml:space="preserve">Margin</t>
  </si>
  <si>
    <t xml:space="preserve">Per KG  margin </t>
  </si>
  <si>
    <t xml:space="preserve">CHA  +O/F +Local transport + Carton packing Charges per Kg +Spice Board</t>
  </si>
  <si>
    <t xml:space="preserve">Total cost per Kg</t>
  </si>
  <si>
    <t xml:space="preserve">Total cost per Pocket</t>
  </si>
  <si>
    <t xml:space="preserve">Pouch Sticker Cost( Front  &amp; Back )</t>
  </si>
  <si>
    <t xml:space="preserve">Total cost per packet </t>
  </si>
  <si>
    <t xml:space="preserve">Dollar conversion</t>
  </si>
  <si>
    <t xml:space="preserve">Price per packets in USD</t>
  </si>
  <si>
    <t xml:space="preserve">Price for Total Qty. In USD</t>
  </si>
  <si>
    <t xml:space="preserve">Total Margin </t>
  </si>
  <si>
    <t xml:space="preserve">Total Investment for purchase </t>
  </si>
  <si>
    <t xml:space="preserve">Manual Packing cost total</t>
  </si>
  <si>
    <t xml:space="preserve">Over all Pouch cost </t>
  </si>
  <si>
    <t xml:space="preserve">Total CHA expenses checking</t>
  </si>
  <si>
    <t xml:space="preserve">Total 
Fob
In INR</t>
  </si>
  <si>
    <t xml:space="preserve">CURRENT – Quotation</t>
  </si>
  <si>
    <t xml:space="preserve">Checking AREA </t>
  </si>
  <si>
    <t xml:space="preserve">Sannam - Red Dried Chilli (With stem ) </t>
  </si>
  <si>
    <t xml:space="preserve">A</t>
  </si>
  <si>
    <t xml:space="preserve">20 FT Loadability Container =  4500 Kgs</t>
  </si>
  <si>
    <t xml:space="preserve">Jaggery Balls  Round </t>
  </si>
  <si>
    <t xml:space="preserve">D</t>
  </si>
  <si>
    <t xml:space="preserve">Nil</t>
  </si>
  <si>
    <t xml:space="preserve">Freight Rate = USD 3500 (+500 USD adding buffer) ( Actual Freight rate USD 3000)</t>
  </si>
  <si>
    <t xml:space="preserve">Cummin Seed </t>
  </si>
  <si>
    <t xml:space="preserve">G</t>
  </si>
  <si>
    <t xml:space="preserve">Purchase Price = INR -199.50, 46, 235, 170, 78 ( All prices are including GST) </t>
  </si>
  <si>
    <t xml:space="preserve">Fennal Seed</t>
  </si>
  <si>
    <t xml:space="preserve">H</t>
  </si>
  <si>
    <t xml:space="preserve">Methi Seeds </t>
  </si>
  <si>
    <t xml:space="preserve">I</t>
  </si>
  <si>
    <t xml:space="preserve">Transporataion from factory to Port , Loading &amp; other Expenses =20000</t>
  </si>
  <si>
    <t xml:space="preserve">Manual Packing cost = 22,200</t>
  </si>
  <si>
    <t xml:space="preserve">S.NO</t>
  </si>
  <si>
    <t xml:space="preserve">Expenses details –INR</t>
  </si>
  <si>
    <t xml:space="preserve">Amount in INR</t>
  </si>
  <si>
    <t xml:space="preserve">Front &amp; Back side sticker = 22,000</t>
  </si>
  <si>
    <t xml:space="preserve">Transport cost Supplier place to Packing place</t>
  </si>
  <si>
    <t xml:space="preserve">Loading &amp; unloading chrges </t>
  </si>
  <si>
    <t xml:space="preserve"> CHA + THC BL charges</t>
  </si>
  <si>
    <r>
      <rPr>
        <sz val="12"/>
        <color rgb="FF000000"/>
        <rFont val="DejaVu Sans"/>
        <family val="0"/>
        <charset val="1"/>
      </rPr>
      <t xml:space="preserve">Spice borad  Test </t>
    </r>
    <r>
      <rPr>
        <sz val="12"/>
        <color rgb="FFCE181E"/>
        <rFont val="DejaVu Sans"/>
        <family val="0"/>
        <charset val="1"/>
      </rPr>
      <t xml:space="preserve">+ Health Certificate </t>
    </r>
  </si>
  <si>
    <t xml:space="preserve">Actual USD</t>
  </si>
  <si>
    <t xml:space="preserve">Actual INR</t>
  </si>
  <si>
    <t xml:space="preserve">Buffer in USD</t>
  </si>
  <si>
    <t xml:space="preserve">Final Fixed</t>
  </si>
  <si>
    <t xml:space="preserve">Freight Charges</t>
  </si>
  <si>
    <t xml:space="preserve">ECGC </t>
  </si>
  <si>
    <t xml:space="preserve">United India  insurance – CIF</t>
  </si>
  <si>
    <t xml:space="preserve">Over all Expenses </t>
  </si>
  <si>
    <t xml:space="preserve">Total kg/ Total expenses</t>
  </si>
  <si>
    <t xml:space="preserve">Coconut Milk Powder –   2 kg  - Tin</t>
  </si>
  <si>
    <t xml:space="preserve">Loadability in Kgs : 18000 Kgs / 18 M.T</t>
  </si>
  <si>
    <t xml:space="preserve">Particulars</t>
  </si>
  <si>
    <t xml:space="preserve">Inputs</t>
  </si>
  <si>
    <t xml:space="preserve">1 kg</t>
  </si>
  <si>
    <t xml:space="preserve">Per Tin -Kg</t>
  </si>
  <si>
    <t xml:space="preserve">12 Kg – (6 Pieces Per carton)</t>
  </si>
  <si>
    <t xml:space="preserve">20 FT – 18000 Kg ( 1500 Cartons *12 kg)</t>
  </si>
  <si>
    <t xml:space="preserve">Total number of Tins  : 9000 Pieces  / 20 FT container</t>
  </si>
  <si>
    <t xml:space="preserve">Packing in KGS</t>
  </si>
  <si>
    <t xml:space="preserve">EX-FACTORY PRICE – 1 Kg</t>
  </si>
  <si>
    <t xml:space="preserve">Label cost</t>
  </si>
  <si>
    <t xml:space="preserve">Freight Rate = USD 4300 (+300 USD adding buffer) ( Actual Freight rate USD 4000)</t>
  </si>
  <si>
    <t xml:space="preserve">Margin : </t>
  </si>
  <si>
    <t xml:space="preserve">EX-FACTORY PRICE  = INR 84</t>
  </si>
  <si>
    <t xml:space="preserve">CHA + THC BL + TransPort</t>
  </si>
  <si>
    <t xml:space="preserve">Total value of Cargo &amp; FOB</t>
  </si>
  <si>
    <t xml:space="preserve">ECGC, INSURANCE, BANK Charges – </t>
  </si>
  <si>
    <t xml:space="preserve">Total value of Cargo &amp; FOB + Additional Cgs</t>
  </si>
  <si>
    <t xml:space="preserve">USD conversion value</t>
  </si>
  <si>
    <t xml:space="preserve"> OCEAN FREIGHT – Chennai to Aden port </t>
  </si>
  <si>
    <t xml:space="preserve">CIF 17.40 / Per Carton</t>
  </si>
  <si>
    <t xml:space="preserve">Multi Red</t>
  </si>
  <si>
    <t xml:space="preserve">actual qty in sqmt</t>
  </si>
  <si>
    <t xml:space="preserve">1 USD</t>
  </si>
  <si>
    <t xml:space="preserve">60 x 40cm thickness 3cm
Flamed, Brushed &amp; Chambered
(Thickness +/- 1mm tolerance)</t>
  </si>
  <si>
    <t xml:space="preserve">standared </t>
  </si>
  <si>
    <t xml:space="preserve">Loadability sft</t>
  </si>
  <si>
    <t xml:space="preserve">20 FT Loadability Container = 3800 sft</t>
  </si>
  <si>
    <t xml:space="preserve">Description</t>
  </si>
  <si>
    <t xml:space="preserve">Workings</t>
  </si>
  <si>
    <t xml:space="preserve">Per Sqft</t>
  </si>
  <si>
    <t xml:space="preserve">Per M2</t>
  </si>
  <si>
    <t xml:space="preserve">1 x 20 FCL</t>
  </si>
  <si>
    <t xml:space="preserve">Freight Rate = USD 7800 (+300 USD adding buffer) ( Actual Freight rate USD 7500)</t>
  </si>
  <si>
    <t xml:space="preserve">sqft price</t>
  </si>
  <si>
    <t xml:space="preserve">'sqft x 10.764 </t>
  </si>
  <si>
    <t xml:space="preserve">'sqft x loadability</t>
  </si>
  <si>
    <t xml:space="preserve">Purchase Price = INR -Per Sqft -175</t>
  </si>
  <si>
    <t xml:space="preserve">Purchase cost + Packing</t>
  </si>
  <si>
    <t xml:space="preserve">Packing Charges</t>
  </si>
  <si>
    <t xml:space="preserve">Transporataion from factory to Port =15000</t>
  </si>
  <si>
    <t xml:space="preserve">Ex – Factory </t>
  </si>
  <si>
    <t xml:space="preserve">CHA with transport / packing</t>
  </si>
  <si>
    <t xml:space="preserve">RODTEP % in FOB Value - 1% for per Square Meter</t>
  </si>
  <si>
    <t xml:space="preserve">Bank Charges </t>
  </si>
  <si>
    <t xml:space="preserve">Draw Back - % in FOB Value - 2 % or per KG- 24 rs</t>
  </si>
  <si>
    <t xml:space="preserve">(we can take which is lower then)</t>
  </si>
  <si>
    <t xml:space="preserve">FOB </t>
  </si>
  <si>
    <t xml:space="preserve">Converted By USD ( FOB ) </t>
  </si>
  <si>
    <t xml:space="preserve">Frieght charges</t>
  </si>
  <si>
    <t xml:space="preserve">CNF</t>
  </si>
  <si>
    <t xml:space="preserve">CIF Price quotation</t>
  </si>
  <si>
    <t xml:space="preserve">Color</t>
  </si>
  <si>
    <t xml:space="preserve">Size</t>
  </si>
  <si>
    <t xml:space="preserve">FOB/USD/SQMT</t>
  </si>
  <si>
    <t xml:space="preserve">CIF/USD/SQMT/ POTI PORT-GEORGIA</t>
  </si>
  <si>
    <t xml:space="preserve">LOADABILITY 20FEET CONTAINER SQFT</t>
  </si>
  <si>
    <t xml:space="preserve">Pallet</t>
  </si>
  <si>
    <t xml:space="preserve">Dimensions of Product (cm)</t>
  </si>
  <si>
    <t xml:space="preserve">Volume (CBM)</t>
  </si>
  <si>
    <t xml:space="preserve">act.loadability</t>
  </si>
  <si>
    <t xml:space="preserve">L</t>
  </si>
  <si>
    <t xml:space="preserve">W</t>
  </si>
  <si>
    <t xml:space="preserve">act.loading</t>
  </si>
  <si>
    <t xml:space="preserve">Polycarbonate Sheets: 39206190</t>
  </si>
  <si>
    <t xml:space="preserve">Per Sq ft</t>
  </si>
  <si>
    <t xml:space="preserve">Per Sheet</t>
  </si>
  <si>
    <t xml:space="preserve">Per Pallet      (100 pieces)</t>
  </si>
  <si>
    <t xml:space="preserve">20ft container</t>
  </si>
  <si>
    <t xml:space="preserve">No of Pieces</t>
  </si>
  <si>
    <t xml:space="preserve">Purchase Cost (ex.fac)</t>
  </si>
  <si>
    <t xml:space="preserve">Transport</t>
  </si>
  <si>
    <t xml:space="preserve">CHA Charges (THC+BL)</t>
  </si>
  <si>
    <t xml:space="preserve">Total Cost</t>
  </si>
  <si>
    <t xml:space="preserve">Bank Charges and Insurance</t>
  </si>
  <si>
    <t xml:space="preserve">Total FOB price in USD</t>
  </si>
  <si>
    <t xml:space="preserve">Total CIF Offer</t>
  </si>
  <si>
    <r>
      <rPr>
        <sz val="10"/>
        <rFont val="Arial"/>
        <family val="2"/>
        <charset val="1"/>
      </rPr>
      <t xml:space="preserve">Assume the </t>
    </r>
    <r>
      <rPr>
        <b val="true"/>
        <sz val="12"/>
        <color theme="1"/>
        <rFont val="Arial"/>
        <family val="2"/>
        <charset val="1"/>
      </rPr>
      <t xml:space="preserve">Purchase Cost</t>
    </r>
    <r>
      <rPr>
        <sz val="12"/>
        <color theme="1"/>
        <rFont val="Arial"/>
        <family val="2"/>
        <charset val="1"/>
      </rPr>
      <t xml:space="preserve"> as </t>
    </r>
    <r>
      <rPr>
        <b val="true"/>
        <sz val="12"/>
        <color theme="1"/>
        <rFont val="Arial"/>
        <family val="2"/>
        <charset val="1"/>
      </rPr>
      <t xml:space="preserve">1800 Rs</t>
    </r>
    <r>
      <rPr>
        <sz val="12"/>
        <color theme="1"/>
        <rFont val="Arial"/>
        <family val="2"/>
        <charset val="1"/>
      </rPr>
      <t xml:space="preserve"> per </t>
    </r>
    <r>
      <rPr>
        <b val="true"/>
        <sz val="12"/>
        <color theme="1"/>
        <rFont val="Arial"/>
        <family val="2"/>
        <charset val="1"/>
      </rPr>
      <t xml:space="preserve">square feet</t>
    </r>
  </si>
  <si>
    <r>
      <rPr>
        <sz val="10"/>
        <rFont val="Arial"/>
        <family val="2"/>
        <charset val="1"/>
      </rPr>
      <t xml:space="preserve">Assume the </t>
    </r>
    <r>
      <rPr>
        <b val="true"/>
        <sz val="12"/>
        <color theme="1"/>
        <rFont val="Arial"/>
        <family val="2"/>
        <charset val="1"/>
      </rPr>
      <t xml:space="preserve">Dollar Value</t>
    </r>
    <r>
      <rPr>
        <sz val="12"/>
        <color theme="1"/>
        <rFont val="Arial"/>
        <family val="2"/>
        <charset val="1"/>
      </rPr>
      <t xml:space="preserve"> as </t>
    </r>
    <r>
      <rPr>
        <b val="true"/>
        <sz val="12"/>
        <color theme="1"/>
        <rFont val="Arial"/>
        <family val="2"/>
        <charset val="1"/>
      </rPr>
      <t xml:space="preserve">94 Rs per $</t>
    </r>
  </si>
  <si>
    <r>
      <rPr>
        <sz val="10"/>
        <rFont val="Arial"/>
        <family val="2"/>
        <charset val="1"/>
      </rPr>
      <t xml:space="preserve">Assume the </t>
    </r>
    <r>
      <rPr>
        <b val="true"/>
        <sz val="12"/>
        <color theme="1"/>
        <rFont val="Arial"/>
        <family val="2"/>
        <charset val="1"/>
      </rPr>
      <t xml:space="preserve">Sea Frieght Rate </t>
    </r>
    <r>
      <rPr>
        <sz val="12"/>
        <color theme="1"/>
        <rFont val="Arial"/>
        <family val="2"/>
        <charset val="1"/>
      </rPr>
      <t xml:space="preserve">as </t>
    </r>
    <r>
      <rPr>
        <b val="true"/>
        <sz val="12"/>
        <color theme="1"/>
        <rFont val="Arial"/>
        <family val="2"/>
        <charset val="1"/>
      </rPr>
      <t xml:space="preserve">$4500</t>
    </r>
  </si>
  <si>
    <r>
      <rPr>
        <sz val="10"/>
        <rFont val="Arial"/>
        <family val="2"/>
        <charset val="1"/>
      </rPr>
      <t xml:space="preserve">Assume the </t>
    </r>
    <r>
      <rPr>
        <b val="true"/>
        <sz val="12"/>
        <color theme="1"/>
        <rFont val="Arial"/>
        <family val="2"/>
        <charset val="1"/>
      </rPr>
      <t xml:space="preserve">Loadability</t>
    </r>
    <r>
      <rPr>
        <sz val="12"/>
        <color theme="1"/>
        <rFont val="Arial"/>
        <family val="2"/>
        <charset val="1"/>
      </rPr>
      <t xml:space="preserve"> as </t>
    </r>
    <r>
      <rPr>
        <b val="true"/>
        <sz val="12"/>
        <color theme="1"/>
        <rFont val="Arial"/>
        <family val="2"/>
        <charset val="1"/>
      </rPr>
      <t xml:space="preserve">1200 Pieces</t>
    </r>
    <r>
      <rPr>
        <sz val="12"/>
        <color theme="1"/>
        <rFont val="Arial"/>
        <family val="2"/>
        <charset val="1"/>
      </rPr>
      <t xml:space="preserve"> in a </t>
    </r>
    <r>
      <rPr>
        <b val="true"/>
        <sz val="12"/>
        <color theme="1"/>
        <rFont val="Arial"/>
        <family val="2"/>
        <charset val="1"/>
      </rPr>
      <t xml:space="preserve">20ft Container</t>
    </r>
  </si>
  <si>
    <t xml:space="preserve">carton</t>
  </si>
  <si>
    <t xml:space="preserve">Frozen Green Peas - 07102100</t>
  </si>
  <si>
    <t xml:space="preserve">10 Kg per carton</t>
  </si>
  <si>
    <t xml:space="preserve">1kg</t>
  </si>
  <si>
    <t xml:space="preserve">Per Carton (10kg/carton)</t>
  </si>
  <si>
    <t xml:space="preserve">40ft container</t>
  </si>
  <si>
    <t xml:space="preserve">Weight (in kg)</t>
  </si>
  <si>
    <r>
      <rPr>
        <sz val="10"/>
        <rFont val="Arial"/>
        <family val="2"/>
        <charset val="1"/>
      </rPr>
      <t xml:space="preserve">Assume the </t>
    </r>
    <r>
      <rPr>
        <b val="true"/>
        <sz val="12"/>
        <color theme="1"/>
        <rFont val="Arial"/>
        <family val="2"/>
        <charset val="1"/>
      </rPr>
      <t xml:space="preserve">Purchase Cost</t>
    </r>
    <r>
      <rPr>
        <sz val="12"/>
        <color theme="1"/>
        <rFont val="Arial"/>
        <family val="2"/>
        <charset val="1"/>
      </rPr>
      <t xml:space="preserve"> as </t>
    </r>
    <r>
      <rPr>
        <b val="true"/>
        <sz val="12"/>
        <color theme="1"/>
        <rFont val="Arial"/>
        <family val="2"/>
        <charset val="1"/>
      </rPr>
      <t xml:space="preserve">150 Rs</t>
    </r>
    <r>
      <rPr>
        <sz val="12"/>
        <color theme="1"/>
        <rFont val="Arial"/>
        <family val="2"/>
        <charset val="1"/>
      </rPr>
      <t xml:space="preserve"> per piece</t>
    </r>
  </si>
  <si>
    <r>
      <rPr>
        <sz val="10"/>
        <rFont val="Arial"/>
        <family val="2"/>
        <charset val="1"/>
      </rPr>
      <t xml:space="preserve">Assume the </t>
    </r>
    <r>
      <rPr>
        <b val="true"/>
        <sz val="12"/>
        <color theme="1"/>
        <rFont val="Arial"/>
        <family val="2"/>
        <charset val="1"/>
      </rPr>
      <t xml:space="preserve">Loadability</t>
    </r>
    <r>
      <rPr>
        <sz val="12"/>
        <color theme="1"/>
        <rFont val="Arial"/>
        <family val="2"/>
        <charset val="1"/>
      </rPr>
      <t xml:space="preserve"> as </t>
    </r>
    <r>
      <rPr>
        <b val="true"/>
        <sz val="12"/>
        <color theme="1"/>
        <rFont val="Arial"/>
        <family val="2"/>
        <charset val="1"/>
      </rPr>
      <t xml:space="preserve">10500 Kg</t>
    </r>
    <r>
      <rPr>
        <sz val="12"/>
        <color theme="1"/>
        <rFont val="Arial"/>
        <family val="2"/>
        <charset val="1"/>
      </rPr>
      <t xml:space="preserve"> in a 4</t>
    </r>
    <r>
      <rPr>
        <b val="true"/>
        <sz val="12"/>
        <color theme="1"/>
        <rFont val="Arial"/>
        <family val="2"/>
        <charset val="1"/>
      </rPr>
      <t xml:space="preserve">0ft Container</t>
    </r>
  </si>
  <si>
    <t xml:space="preserve">Artist Brush - 96033010 </t>
  </si>
  <si>
    <t xml:space="preserve">2000 Pieces per Carton</t>
  </si>
  <si>
    <t xml:space="preserve">Per Brush</t>
  </si>
  <si>
    <t xml:space="preserve">Per Carton    (2000 pieces)</t>
  </si>
  <si>
    <r>
      <rPr>
        <sz val="10"/>
        <rFont val="Arial"/>
        <family val="2"/>
        <charset val="1"/>
      </rPr>
      <t xml:space="preserve">Assume the </t>
    </r>
    <r>
      <rPr>
        <b val="true"/>
        <sz val="12"/>
        <color theme="1"/>
        <rFont val="Arial"/>
        <family val="2"/>
        <charset val="1"/>
      </rPr>
      <t xml:space="preserve">Purchase Cost</t>
    </r>
    <r>
      <rPr>
        <sz val="12"/>
        <color theme="1"/>
        <rFont val="Arial"/>
        <family val="2"/>
        <charset val="1"/>
      </rPr>
      <t xml:space="preserve"> as </t>
    </r>
    <r>
      <rPr>
        <b val="true"/>
        <sz val="12"/>
        <color theme="1"/>
        <rFont val="Arial"/>
        <family val="2"/>
        <charset val="1"/>
      </rPr>
      <t xml:space="preserve">50 Rs</t>
    </r>
    <r>
      <rPr>
        <sz val="12"/>
        <color theme="1"/>
        <rFont val="Arial"/>
        <family val="2"/>
        <charset val="1"/>
      </rPr>
      <t xml:space="preserve"> per piece</t>
    </r>
  </si>
  <si>
    <r>
      <rPr>
        <sz val="10"/>
        <rFont val="Arial"/>
        <family val="2"/>
        <charset val="1"/>
      </rPr>
      <t xml:space="preserve">Assume the </t>
    </r>
    <r>
      <rPr>
        <b val="true"/>
        <sz val="12"/>
        <color theme="1"/>
        <rFont val="Arial"/>
        <family val="2"/>
        <charset val="1"/>
      </rPr>
      <t xml:space="preserve">Loadability</t>
    </r>
    <r>
      <rPr>
        <sz val="12"/>
        <color theme="1"/>
        <rFont val="Arial"/>
        <family val="2"/>
        <charset val="1"/>
      </rPr>
      <t xml:space="preserve"> as </t>
    </r>
    <r>
      <rPr>
        <b val="true"/>
        <sz val="12"/>
        <color theme="1"/>
        <rFont val="Arial"/>
        <family val="2"/>
        <charset val="1"/>
      </rPr>
      <t xml:space="preserve">580000 Pieces</t>
    </r>
    <r>
      <rPr>
        <sz val="12"/>
        <color theme="1"/>
        <rFont val="Arial"/>
        <family val="2"/>
        <charset val="1"/>
      </rPr>
      <t xml:space="preserve"> in a </t>
    </r>
    <r>
      <rPr>
        <b val="true"/>
        <sz val="12"/>
        <color theme="1"/>
        <rFont val="Arial"/>
        <family val="2"/>
        <charset val="1"/>
      </rPr>
      <t xml:space="preserve">20ft Container</t>
    </r>
  </si>
  <si>
    <t xml:space="preserve">Black tea (dust) - 09024030</t>
  </si>
  <si>
    <t xml:space="preserve">50g x 20 pouches in a carton</t>
  </si>
  <si>
    <t xml:space="preserve">Per kg</t>
  </si>
  <si>
    <t xml:space="preserve">Per pouch (500g)</t>
  </si>
  <si>
    <t xml:space="preserve">Per Carton(20 pouches)</t>
  </si>
  <si>
    <r>
      <rPr>
        <sz val="10"/>
        <rFont val="Arial"/>
        <family val="2"/>
        <charset val="1"/>
      </rPr>
      <t xml:space="preserve">Assume the </t>
    </r>
    <r>
      <rPr>
        <b val="true"/>
        <sz val="12"/>
        <color theme="1"/>
        <rFont val="Arial"/>
        <family val="2"/>
        <charset val="1"/>
      </rPr>
      <t xml:space="preserve">Purchase Cost</t>
    </r>
    <r>
      <rPr>
        <sz val="12"/>
        <color theme="1"/>
        <rFont val="Arial"/>
        <family val="2"/>
        <charset val="1"/>
      </rPr>
      <t xml:space="preserve"> as 400</t>
    </r>
    <r>
      <rPr>
        <b val="true"/>
        <sz val="12"/>
        <color theme="1"/>
        <rFont val="Arial"/>
        <family val="2"/>
        <charset val="1"/>
      </rPr>
      <t xml:space="preserve"> Rs</t>
    </r>
    <r>
      <rPr>
        <sz val="12"/>
        <color theme="1"/>
        <rFont val="Arial"/>
        <family val="2"/>
        <charset val="1"/>
      </rPr>
      <t xml:space="preserve"> per KG</t>
    </r>
  </si>
  <si>
    <r>
      <rPr>
        <sz val="10"/>
        <rFont val="Arial"/>
        <family val="2"/>
        <charset val="1"/>
      </rPr>
      <t xml:space="preserve">Assume the </t>
    </r>
    <r>
      <rPr>
        <b val="true"/>
        <sz val="12"/>
        <color theme="1"/>
        <rFont val="Arial"/>
        <family val="2"/>
        <charset val="1"/>
      </rPr>
      <t xml:space="preserve">Loadability</t>
    </r>
    <r>
      <rPr>
        <sz val="12"/>
        <color theme="1"/>
        <rFont val="Arial"/>
        <family val="2"/>
        <charset val="1"/>
      </rPr>
      <t xml:space="preserve"> as 22000KG in a</t>
    </r>
    <r>
      <rPr>
        <b val="true"/>
        <sz val="12"/>
        <color theme="1"/>
        <rFont val="Arial"/>
        <family val="2"/>
        <charset val="1"/>
      </rPr>
      <t xml:space="preserve"> 40ft Container</t>
    </r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</si>
</sst>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#,##0.00"/>
    <numFmt numFmtId="166" formatCode="0.00%"/>
    <numFmt numFmtId="167" formatCode="0.00"/>
    <numFmt numFmtId="168" formatCode="0"/>
    <numFmt numFmtId="169" formatCode="#,##0.0000"/>
    <numFmt numFmtId="170" formatCode="0.000"/>
    <numFmt numFmtId="171" formatCode="#,##0.00\ ;\(#,##0.00\);\-#\ ;@\ "/>
    <numFmt numFmtId="172" formatCode="* #,##0.000\ ;* \(#,##0.000\);* \-#\ ;@\ "/>
    <numFmt numFmtId="173" formatCode="0.00000"/>
    <numFmt numFmtId="174" formatCode="* #,##0\ ;* \-#,##0\ ;* \-#\ ;@\ "/>
    <numFmt numFmtId="175" formatCode="* #,##0.00\ ;* \-#,##0.00\ ;* \-#\ ;@\ "/>
    <numFmt numFmtId="176" formatCode="#,##0"/>
    <numFmt numFmtId="177" formatCode="dd/mm/yy"/>
    <numFmt numFmtId="178" formatCode="[$$-409]#,##0.00;[RED]\-[$$-409]#,##0.00"/>
    <numFmt numFmtId="179" formatCode="[$$-409]#,###.00;[RED]\-[$$-409]#,###.00"/>
    <numFmt numFmtId="180" formatCode="0%"/>
    <numFmt numFmtId="181" formatCode="[$$-409]#,##0.00"/>
    <numFmt numFmtId="182" formatCode="_-[$$-1009]* #,##0.00_-;\-[$$-1009]* #,##0.00_-;_-[$$-1009]* \-??_-;_-@_-"/>
  </numFmts>
  <fonts count="6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3"/>
      <color rgb="FFC9211E"/>
      <name val="Arial"/>
      <family val="2"/>
      <charset val="1"/>
    </font>
    <font>
      <sz val="12"/>
      <name val="Arial"/>
      <family val="2"/>
      <charset val="1"/>
    </font>
    <font>
      <b val="true"/>
      <sz val="15"/>
      <name val="Arial"/>
      <family val="2"/>
      <charset val="1"/>
    </font>
    <font>
      <sz val="10.5"/>
      <name val="Arial"/>
      <family val="2"/>
      <charset val="1"/>
    </font>
    <font>
      <sz val="14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20"/>
      <name val="Arial"/>
      <family val="2"/>
      <charset val="1"/>
    </font>
    <font>
      <sz val="15"/>
      <name val="Arial"/>
      <family val="2"/>
      <charset val="1"/>
    </font>
    <font>
      <b val="true"/>
      <sz val="16"/>
      <color rgb="FFC9211E"/>
      <name val="Arial"/>
      <family val="2"/>
      <charset val="1"/>
    </font>
    <font>
      <b val="true"/>
      <sz val="13"/>
      <name val="Arial"/>
      <family val="2"/>
      <charset val="1"/>
    </font>
    <font>
      <sz val="13"/>
      <name val="Arial"/>
      <family val="2"/>
      <charset val="1"/>
    </font>
    <font>
      <sz val="9"/>
      <name val="Arial"/>
      <family val="2"/>
      <charset val="1"/>
    </font>
    <font>
      <b val="true"/>
      <sz val="16"/>
      <name val="Arial"/>
      <family val="2"/>
      <charset val="1"/>
    </font>
    <font>
      <sz val="60"/>
      <name val="Arial"/>
      <family val="2"/>
      <charset val="1"/>
    </font>
    <font>
      <sz val="66"/>
      <name val="aakar"/>
      <family val="0"/>
      <charset val="1"/>
    </font>
    <font>
      <b val="true"/>
      <sz val="16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color rgb="FF333333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sz val="16"/>
      <name val="arial"/>
      <family val="2"/>
      <charset val="1"/>
    </font>
    <font>
      <sz val="16"/>
      <color rgb="FF000000"/>
      <name val="arial"/>
      <family val="2"/>
      <charset val="1"/>
    </font>
    <font>
      <sz val="13"/>
      <name val="arial"/>
      <family val="2"/>
      <charset val="1"/>
    </font>
    <font>
      <sz val="13"/>
      <color rgb="FF000000"/>
      <name val="arial"/>
      <family val="2"/>
      <charset val="1"/>
    </font>
    <font>
      <b val="true"/>
      <sz val="13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5"/>
      <name val="arial"/>
      <family val="2"/>
      <charset val="1"/>
    </font>
    <font>
      <b val="true"/>
      <sz val="15"/>
      <color rgb="FF000000"/>
      <name val="arial"/>
      <family val="2"/>
      <charset val="1"/>
    </font>
    <font>
      <sz val="15"/>
      <color rgb="FF000000"/>
      <name val="arial"/>
      <family val="2"/>
      <charset val="1"/>
    </font>
    <font>
      <sz val="12"/>
      <color rgb="FF000000"/>
      <name val="DejaVu Sans"/>
      <family val="0"/>
      <charset val="1"/>
    </font>
    <font>
      <sz val="12"/>
      <color rgb="FFCE181E"/>
      <name val="DejaVu Sans"/>
      <family val="0"/>
      <charset val="1"/>
    </font>
    <font>
      <b val="true"/>
      <sz val="2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20"/>
      <name val="arial"/>
      <family val="2"/>
      <charset val="1"/>
    </font>
    <font>
      <sz val="40"/>
      <name val="Abyssinica SIL"/>
      <family val="0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5"/>
      <color rgb="FF000000"/>
      <name val="Arial"/>
      <family val="2"/>
      <charset val="1"/>
    </font>
    <font>
      <b val="true"/>
      <sz val="9"/>
      <color rgb="FFCE181E"/>
      <name val="Arial"/>
      <family val="2"/>
      <charset val="1"/>
    </font>
    <font>
      <b val="true"/>
      <sz val="9"/>
      <color rgb="FF333333"/>
      <name val="Arial"/>
      <family val="2"/>
      <charset val="1"/>
    </font>
    <font>
      <b val="true"/>
      <sz val="15"/>
      <color rgb="FF111111"/>
      <name val="Arial"/>
      <family val="2"/>
      <charset val="1"/>
    </font>
    <font>
      <sz val="18"/>
      <name val="Arial"/>
      <family val="2"/>
      <charset val="1"/>
    </font>
    <font>
      <sz val="16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sz val="13"/>
      <color rgb="FF333333"/>
      <name val="Calibri"/>
      <family val="2"/>
      <charset val="1"/>
    </font>
    <font>
      <sz val="10"/>
      <name val="Calibri"/>
      <family val="2"/>
      <charset val="1"/>
    </font>
    <font>
      <sz val="10"/>
      <color rgb="FF6B0094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80"/>
      <name val="Calibri"/>
      <family val="2"/>
      <charset val="1"/>
    </font>
    <font>
      <sz val="10"/>
      <color rgb="FF660066"/>
      <name val="Calibri"/>
      <family val="2"/>
      <charset val="1"/>
    </font>
    <font>
      <sz val="10"/>
      <color rgb="FF355E00"/>
      <name val="Calibri"/>
      <family val="2"/>
      <charset val="1"/>
    </font>
    <font>
      <b val="true"/>
      <sz val="13"/>
      <color rgb="FF660066"/>
      <name val="Calibri"/>
      <family val="2"/>
      <charset val="1"/>
    </font>
    <font>
      <b val="true"/>
      <sz val="13"/>
      <color rgb="FF000000"/>
      <name val="Calibri"/>
      <family val="2"/>
      <charset val="1"/>
    </font>
    <font>
      <b val="true"/>
      <sz val="13"/>
      <color rgb="FF000080"/>
      <name val="Calibri"/>
      <family val="2"/>
      <charset val="1"/>
    </font>
    <font>
      <b val="true"/>
      <sz val="15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theme="1"/>
      <name val="Arial"/>
      <family val="2"/>
      <charset val="1"/>
    </font>
    <font>
      <sz val="12"/>
      <color theme="1"/>
      <name val="Arial"/>
      <family val="2"/>
      <charset val="1"/>
    </font>
    <font>
      <b val="true"/>
      <sz val="12"/>
      <color rgb="FFFF0000"/>
      <name val="Arial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rgb="FFFFE5CA"/>
        <bgColor rgb="FFFBE3D6"/>
      </patternFill>
    </fill>
    <fill>
      <patternFill patternType="solid">
        <fgColor rgb="FF87D1D1"/>
        <bgColor rgb="FF8CCFB7"/>
      </patternFill>
    </fill>
    <fill>
      <patternFill patternType="solid">
        <fgColor rgb="FFDFCCE4"/>
        <bgColor rgb="FFFCD4D1"/>
      </patternFill>
    </fill>
    <fill>
      <patternFill patternType="solid">
        <fgColor rgb="FFC7A0CB"/>
        <bgColor rgb="FFDFCCE4"/>
      </patternFill>
    </fill>
    <fill>
      <patternFill patternType="solid">
        <fgColor rgb="FFFFEA00"/>
        <bgColor rgb="FFFFF200"/>
      </patternFill>
    </fill>
    <fill>
      <patternFill patternType="solid">
        <fgColor rgb="FF76FF03"/>
        <bgColor rgb="FF72BF44"/>
      </patternFill>
    </fill>
    <fill>
      <patternFill patternType="solid">
        <fgColor rgb="FFFFDAA2"/>
        <bgColor rgb="FFFFE5CA"/>
      </patternFill>
    </fill>
    <fill>
      <patternFill patternType="solid">
        <fgColor rgb="FFFFF685"/>
        <bgColor rgb="FFFFF450"/>
      </patternFill>
    </fill>
    <fill>
      <patternFill patternType="solid">
        <fgColor rgb="FFFFFBCC"/>
        <bgColor rgb="FFFFE5CA"/>
      </patternFill>
    </fill>
    <fill>
      <patternFill patternType="solid">
        <fgColor rgb="FFBCE4E5"/>
        <bgColor rgb="FFD9F2D0"/>
      </patternFill>
    </fill>
    <fill>
      <patternFill patternType="solid">
        <fgColor rgb="FFFFF200"/>
        <bgColor rgb="FFFFEA00"/>
      </patternFill>
    </fill>
    <fill>
      <patternFill patternType="solid">
        <fgColor rgb="FF8CCFB7"/>
        <bgColor rgb="FF87D1D1"/>
      </patternFill>
    </fill>
    <fill>
      <patternFill patternType="solid">
        <fgColor rgb="FF72BF44"/>
        <bgColor rgb="FF89C765"/>
      </patternFill>
    </fill>
    <fill>
      <patternFill patternType="solid">
        <fgColor rgb="FF62A73B"/>
        <bgColor rgb="FF72BF44"/>
      </patternFill>
    </fill>
    <fill>
      <patternFill patternType="solid">
        <fgColor rgb="FF89C765"/>
        <bgColor rgb="FF72BF44"/>
      </patternFill>
    </fill>
    <fill>
      <patternFill patternType="solid">
        <fgColor rgb="FFF37B70"/>
        <bgColor rgb="FFC7A0CB"/>
      </patternFill>
    </fill>
    <fill>
      <patternFill patternType="solid">
        <fgColor rgb="FFFCD4D1"/>
        <bgColor rgb="FFFBE3D6"/>
      </patternFill>
    </fill>
    <fill>
      <patternFill patternType="solid">
        <fgColor rgb="FFFFF450"/>
        <bgColor rgb="FFFFF685"/>
      </patternFill>
    </fill>
    <fill>
      <patternFill patternType="solid">
        <fgColor rgb="FFADD58A"/>
        <bgColor rgb="FFB4E5A2"/>
      </patternFill>
    </fill>
    <fill>
      <patternFill patternType="solid">
        <fgColor theme="5" tint="0.5999"/>
        <bgColor rgb="FFFCD4D1"/>
      </patternFill>
    </fill>
    <fill>
      <patternFill patternType="solid">
        <fgColor theme="5" tint="0.7999"/>
        <bgColor rgb="FFFFE5CA"/>
      </patternFill>
    </fill>
    <fill>
      <patternFill patternType="solid">
        <fgColor theme="9" tint="0.5999"/>
        <bgColor rgb="FFADD58A"/>
      </patternFill>
    </fill>
    <fill>
      <patternFill patternType="solid">
        <fgColor theme="9" tint="0.7999"/>
        <bgColor rgb="FFBCE4E5"/>
      </patternFill>
    </fill>
    <fill>
      <patternFill patternType="solid">
        <fgColor rgb="FFFFFF00"/>
        <bgColor rgb="FFFFF2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23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8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7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7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8" fillId="9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22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4" fillId="11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11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22" fillId="0" borderId="2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4" fillId="0" borderId="2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2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2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2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24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24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2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2" fontId="28" fillId="0" borderId="2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30" fillId="0" borderId="2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3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3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3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3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3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3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32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31" fillId="11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31" fillId="11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5" fontId="3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3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3" fillId="0" borderId="2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31" fillId="0" borderId="2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32" fillId="1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32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32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32" fillId="1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32" fillId="1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3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32" fillId="9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32" fillId="9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32" fillId="1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3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1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3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6" fillId="2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3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3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6" fillId="1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36" fillId="2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6" fillId="2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6" fillId="1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0" fillId="16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1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1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1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7" fillId="5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7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6" fontId="43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3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4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8" fillId="19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8" fillId="19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3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7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1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1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2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3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2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2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2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0" fillId="9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61" fillId="9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62" fillId="9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5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2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3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3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9" fontId="6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5" fillId="2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5" fillId="2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6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6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6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0" fontId="66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8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7" fillId="2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80" fontId="6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82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67" fillId="2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BE3D6"/>
      <rgbColor rgb="FFFF0000"/>
      <rgbColor rgb="FF76FF03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6B0094"/>
      <rgbColor rgb="FF008080"/>
      <rgbColor rgb="FFADD58A"/>
      <rgbColor rgb="FF808080"/>
      <rgbColor rgb="FF8CCFB7"/>
      <rgbColor rgb="FFCE181E"/>
      <rgbColor rgb="FFFFFBCC"/>
      <rgbColor rgb="FFBCE4E5"/>
      <rgbColor rgb="FF660066"/>
      <rgbColor rgb="FFF37B70"/>
      <rgbColor rgb="FF0066CC"/>
      <rgbColor rgb="FFDFCCE4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FFE5CA"/>
      <rgbColor rgb="FFD9F2D0"/>
      <rgbColor rgb="FFFFF685"/>
      <rgbColor rgb="FF87D1D1"/>
      <rgbColor rgb="FFFCD4D1"/>
      <rgbColor rgb="FFC7A0CB"/>
      <rgbColor rgb="FFF6C6AD"/>
      <rgbColor rgb="FF3366FF"/>
      <rgbColor rgb="FFB4E5A2"/>
      <rgbColor rgb="FF72BF44"/>
      <rgbColor rgb="FFFFEA00"/>
      <rgbColor rgb="FFFFDAA2"/>
      <rgbColor rgb="FFFFF450"/>
      <rgbColor rgb="FF666699"/>
      <rgbColor rgb="FF89C765"/>
      <rgbColor rgb="FF003366"/>
      <rgbColor rgb="FF62A73B"/>
      <rgbColor rgb="FF111111"/>
      <rgbColor rgb="FF355E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3" activeCellId="0" sqref="A23"/>
    </sheetView>
  </sheetViews>
  <sheetFormatPr defaultColWidth="11.109375" defaultRowHeight="13.2" customHeight="false" zeroHeight="false" outlineLevelRow="0" outlineLevelCol="0"/>
  <cols>
    <col collapsed="false" customWidth="true" hidden="false" outlineLevel="0" max="1" min="1" style="1" width="75.19"/>
    <col collapsed="false" customWidth="true" hidden="false" outlineLevel="0" max="2" min="2" style="2" width="11.99"/>
    <col collapsed="false" customWidth="true" hidden="false" outlineLevel="0" max="3" min="3" style="1" width="17"/>
    <col collapsed="false" customWidth="true" hidden="false" outlineLevel="0" max="5" min="4" style="1" width="20.64"/>
    <col collapsed="false" customWidth="true" hidden="false" outlineLevel="0" max="6" min="6" style="1" width="24.53"/>
    <col collapsed="false" customWidth="true" hidden="false" outlineLevel="0" max="7" min="7" style="1" width="15.88"/>
    <col collapsed="false" customWidth="true" hidden="false" outlineLevel="0" max="1024" min="1024" style="1" width="11.52"/>
  </cols>
  <sheetData>
    <row r="1" s="9" customFormat="true" ht="58.65" hidden="false" customHeight="true" outlineLevel="0" collapsed="false">
      <c r="A1" s="3" t="s">
        <v>0</v>
      </c>
      <c r="B1" s="3"/>
      <c r="C1" s="4" t="s">
        <v>1</v>
      </c>
      <c r="D1" s="5" t="s">
        <v>2</v>
      </c>
      <c r="E1" s="4" t="s">
        <v>3</v>
      </c>
      <c r="F1" s="6" t="s">
        <v>4</v>
      </c>
      <c r="G1" s="7" t="s">
        <v>5</v>
      </c>
      <c r="H1" s="8" t="n">
        <f aca="false">F2/D2</f>
        <v>960</v>
      </c>
      <c r="AMJ1" s="1"/>
    </row>
    <row r="2" customFormat="false" ht="31.95" hidden="false" customHeight="true" outlineLevel="0" collapsed="false">
      <c r="A2" s="3"/>
      <c r="B2" s="3"/>
      <c r="C2" s="10" t="n">
        <v>1</v>
      </c>
      <c r="D2" s="10" t="n">
        <v>25</v>
      </c>
      <c r="E2" s="10" t="n">
        <v>1000</v>
      </c>
      <c r="F2" s="11" t="n">
        <v>24000</v>
      </c>
      <c r="G2" s="12" t="s">
        <v>6</v>
      </c>
      <c r="H2" s="12"/>
      <c r="I2" s="12"/>
      <c r="J2" s="12"/>
      <c r="K2" s="12"/>
      <c r="L2" s="12"/>
      <c r="M2" s="12"/>
      <c r="N2" s="12"/>
    </row>
    <row r="3" customFormat="false" ht="31.95" hidden="false" customHeight="true" outlineLevel="0" collapsed="false">
      <c r="A3" s="13" t="s">
        <v>7</v>
      </c>
      <c r="B3" s="14"/>
      <c r="C3" s="15" t="n">
        <v>98</v>
      </c>
      <c r="D3" s="16" t="n">
        <f aca="false">C3*D2</f>
        <v>2450</v>
      </c>
      <c r="E3" s="16" t="n">
        <f aca="false">C3*E2</f>
        <v>98000</v>
      </c>
      <c r="F3" s="16" t="n">
        <f aca="false">C3*F2</f>
        <v>2352000</v>
      </c>
      <c r="G3" s="17" t="n">
        <v>1</v>
      </c>
      <c r="H3" s="18" t="s">
        <v>8</v>
      </c>
      <c r="I3" s="18"/>
      <c r="J3" s="18"/>
      <c r="K3" s="18"/>
      <c r="L3" s="18"/>
      <c r="M3" s="18"/>
      <c r="N3" s="18"/>
    </row>
    <row r="4" customFormat="false" ht="31.95" hidden="false" customHeight="true" outlineLevel="0" collapsed="false">
      <c r="A4" s="13" t="s">
        <v>9</v>
      </c>
      <c r="B4" s="19" t="n">
        <v>0.05</v>
      </c>
      <c r="C4" s="16" t="n">
        <f aca="false">C3*B4</f>
        <v>4.9</v>
      </c>
      <c r="D4" s="16" t="n">
        <f aca="false">B4*D3</f>
        <v>122.5</v>
      </c>
      <c r="E4" s="16" t="n">
        <f aca="false">E3*B4</f>
        <v>4900</v>
      </c>
      <c r="F4" s="16" t="n">
        <f aca="false">F3*B4</f>
        <v>117600</v>
      </c>
      <c r="G4" s="17" t="n">
        <v>2</v>
      </c>
      <c r="H4" s="18" t="s">
        <v>10</v>
      </c>
      <c r="I4" s="18"/>
      <c r="J4" s="18"/>
      <c r="K4" s="18"/>
      <c r="L4" s="18"/>
      <c r="M4" s="18"/>
      <c r="N4" s="18"/>
    </row>
    <row r="5" customFormat="false" ht="31.95" hidden="false" customHeight="true" outlineLevel="0" collapsed="false">
      <c r="A5" s="20" t="s">
        <v>11</v>
      </c>
      <c r="B5" s="21" t="n">
        <f aca="false">20000+50000</f>
        <v>70000</v>
      </c>
      <c r="C5" s="16" t="n">
        <f aca="false">B5/F2</f>
        <v>2.91666666666667</v>
      </c>
      <c r="D5" s="16" t="n">
        <f aca="false">C5*D2</f>
        <v>72.9166666666667</v>
      </c>
      <c r="E5" s="16" t="n">
        <f aca="false">C5*E2</f>
        <v>2916.66666666667</v>
      </c>
      <c r="F5" s="16" t="n">
        <f aca="false">B5</f>
        <v>70000</v>
      </c>
      <c r="G5" s="17" t="n">
        <v>3</v>
      </c>
      <c r="H5" s="18" t="s">
        <v>12</v>
      </c>
      <c r="I5" s="18"/>
      <c r="J5" s="18"/>
      <c r="K5" s="18"/>
      <c r="L5" s="18"/>
      <c r="M5" s="18"/>
      <c r="N5" s="18"/>
    </row>
    <row r="6" customFormat="false" ht="31.95" hidden="false" customHeight="true" outlineLevel="0" collapsed="false">
      <c r="A6" s="13" t="s">
        <v>13</v>
      </c>
      <c r="B6" s="22" t="n">
        <v>0.02</v>
      </c>
      <c r="C6" s="16" t="n">
        <f aca="false">((SUM(C3:C5)*B6))</f>
        <v>2.11633333333333</v>
      </c>
      <c r="D6" s="16" t="n">
        <f aca="false">C6*D2</f>
        <v>52.9083333333333</v>
      </c>
      <c r="E6" s="16" t="n">
        <f aca="false">((SUM(E3:E5)*B6))</f>
        <v>2116.33333333333</v>
      </c>
      <c r="F6" s="16" t="n">
        <f aca="false">((SUM(F3:F5)*B6))</f>
        <v>50792</v>
      </c>
      <c r="G6" s="17" t="n">
        <v>4</v>
      </c>
      <c r="H6" s="18" t="s">
        <v>14</v>
      </c>
      <c r="I6" s="18"/>
      <c r="J6" s="18"/>
      <c r="K6" s="18"/>
      <c r="L6" s="18"/>
      <c r="M6" s="18"/>
      <c r="N6" s="18"/>
    </row>
    <row r="7" customFormat="false" ht="31.95" hidden="false" customHeight="true" outlineLevel="0" collapsed="false">
      <c r="A7" s="13" t="s">
        <v>15</v>
      </c>
      <c r="B7" s="14"/>
      <c r="C7" s="16" t="n">
        <f aca="false">SUM(C3:C6)</f>
        <v>107.933</v>
      </c>
      <c r="D7" s="16" t="n">
        <f aca="false">SUM(D3:D6)</f>
        <v>2698.325</v>
      </c>
      <c r="E7" s="16" t="n">
        <f aca="false">SUM(E3:E6)</f>
        <v>107933</v>
      </c>
      <c r="F7" s="16" t="n">
        <f aca="false">SUM(F3:F6)</f>
        <v>2590392</v>
      </c>
      <c r="G7" s="17" t="n">
        <v>5</v>
      </c>
      <c r="H7" s="18" t="s">
        <v>16</v>
      </c>
      <c r="I7" s="18"/>
      <c r="J7" s="18"/>
      <c r="K7" s="18"/>
      <c r="L7" s="18"/>
      <c r="M7" s="18"/>
      <c r="N7" s="18"/>
    </row>
    <row r="8" customFormat="false" ht="31.95" hidden="false" customHeight="true" outlineLevel="0" collapsed="false">
      <c r="A8" s="13" t="s">
        <v>17</v>
      </c>
      <c r="B8" s="21" t="n">
        <v>81</v>
      </c>
      <c r="C8" s="23" t="n">
        <f aca="false">C7/B8</f>
        <v>1.33250617283951</v>
      </c>
      <c r="D8" s="16" t="n">
        <f aca="false">D7/B8</f>
        <v>33.3126543209877</v>
      </c>
      <c r="E8" s="24" t="n">
        <f aca="false">E7/B8</f>
        <v>1332.50617283951</v>
      </c>
      <c r="F8" s="23" t="n">
        <f aca="false">F7/B8</f>
        <v>31980.1481481482</v>
      </c>
      <c r="G8" s="17" t="n">
        <v>6</v>
      </c>
      <c r="H8" s="18" t="s">
        <v>18</v>
      </c>
      <c r="I8" s="18"/>
      <c r="J8" s="18"/>
      <c r="K8" s="18"/>
      <c r="L8" s="18"/>
      <c r="M8" s="18"/>
      <c r="N8" s="18"/>
    </row>
    <row r="9" customFormat="false" ht="31.95" hidden="false" customHeight="true" outlineLevel="0" collapsed="false">
      <c r="A9" s="13" t="s">
        <v>19</v>
      </c>
      <c r="B9" s="25" t="n">
        <v>850</v>
      </c>
      <c r="C9" s="16" t="n">
        <f aca="false">B9/F2</f>
        <v>0.0354166666666667</v>
      </c>
      <c r="D9" s="16" t="n">
        <f aca="false">C9*D2</f>
        <v>0.885416666666667</v>
      </c>
      <c r="E9" s="16" t="n">
        <f aca="false">C9*E2</f>
        <v>35.4166666666667</v>
      </c>
      <c r="F9" s="16" t="n">
        <f aca="false">C9*F2</f>
        <v>850</v>
      </c>
      <c r="G9" s="17" t="n">
        <v>7</v>
      </c>
      <c r="H9" s="18" t="s">
        <v>20</v>
      </c>
      <c r="I9" s="18"/>
      <c r="J9" s="18"/>
      <c r="K9" s="18"/>
      <c r="L9" s="18"/>
      <c r="M9" s="18"/>
      <c r="N9" s="18"/>
    </row>
    <row r="10" customFormat="false" ht="31.95" hidden="false" customHeight="true" outlineLevel="0" collapsed="false">
      <c r="A10" s="26" t="s">
        <v>21</v>
      </c>
      <c r="B10" s="27" t="n">
        <v>0.005</v>
      </c>
      <c r="C10" s="28" t="n">
        <f aca="false">B10*C9</f>
        <v>0.000177083333333333</v>
      </c>
      <c r="D10" s="28" t="n">
        <f aca="false">B10*D9</f>
        <v>0.00442708333333333</v>
      </c>
      <c r="E10" s="28" t="n">
        <f aca="false">B10*E9</f>
        <v>0.177083333333333</v>
      </c>
      <c r="F10" s="28" t="n">
        <f aca="false">B10*F9</f>
        <v>4.25</v>
      </c>
    </row>
    <row r="11" s="33" customFormat="true" ht="31.95" hidden="false" customHeight="true" outlineLevel="0" collapsed="false">
      <c r="A11" s="29" t="s">
        <v>22</v>
      </c>
      <c r="B11" s="30"/>
      <c r="C11" s="31" t="n">
        <f aca="false">SUM(C8:C10)</f>
        <v>1.36809992283951</v>
      </c>
      <c r="D11" s="31" t="n">
        <f aca="false">SUM(D8:D10)</f>
        <v>34.2024980709877</v>
      </c>
      <c r="E11" s="32" t="n">
        <f aca="false">SUM(E8:E10)</f>
        <v>1368.09992283951</v>
      </c>
      <c r="F11" s="31" t="n">
        <f aca="false">SUM(F8:F10)</f>
        <v>32834.3981481481</v>
      </c>
      <c r="H11" s="34"/>
      <c r="AMJ11" s="1"/>
    </row>
    <row r="12" customFormat="false" ht="35.1" hidden="false" customHeight="true" outlineLevel="0" collapsed="false">
      <c r="D12" s="1" t="s">
        <v>23</v>
      </c>
      <c r="H12" s="34"/>
    </row>
    <row r="13" customFormat="false" ht="27.2" hidden="false" customHeight="true" outlineLevel="0" collapsed="false">
      <c r="A13" s="35" t="s">
        <v>24</v>
      </c>
      <c r="D13" s="36"/>
      <c r="E13" s="37" t="s">
        <v>25</v>
      </c>
      <c r="F13" s="38"/>
      <c r="H13" s="34"/>
    </row>
    <row r="14" customFormat="false" ht="23.7" hidden="false" customHeight="true" outlineLevel="0" collapsed="false">
      <c r="A14" s="39" t="s">
        <v>26</v>
      </c>
      <c r="H14" s="34"/>
      <c r="I14" s="34"/>
    </row>
    <row r="15" customFormat="false" ht="25.45" hidden="false" customHeight="true" outlineLevel="0" collapsed="false">
      <c r="A15" s="39" t="s">
        <v>27</v>
      </c>
      <c r="H15" s="34"/>
      <c r="I15" s="34"/>
    </row>
    <row r="16" customFormat="false" ht="23.7" hidden="false" customHeight="true" outlineLevel="0" collapsed="false">
      <c r="A16" s="39" t="s">
        <v>28</v>
      </c>
      <c r="H16" s="34"/>
      <c r="I16" s="34"/>
    </row>
    <row r="17" customFormat="false" ht="23.7" hidden="false" customHeight="true" outlineLevel="0" collapsed="false">
      <c r="A17" s="39" t="s">
        <v>29</v>
      </c>
    </row>
    <row r="18" customFormat="false" ht="24.55" hidden="false" customHeight="true" outlineLevel="0" collapsed="false">
      <c r="A18" s="39" t="s">
        <v>30</v>
      </c>
    </row>
    <row r="19" customFormat="false" ht="25.45" hidden="false" customHeight="true" outlineLevel="0" collapsed="false">
      <c r="A19" s="39" t="s">
        <v>31</v>
      </c>
    </row>
    <row r="20" customFormat="false" ht="26.3" hidden="false" customHeight="true" outlineLevel="0" collapsed="false">
      <c r="A20" s="39" t="s">
        <v>32</v>
      </c>
    </row>
    <row r="21" customFormat="false" ht="27.2" hidden="false" customHeight="true" outlineLevel="0" collapsed="false">
      <c r="A21" s="39" t="s">
        <v>33</v>
      </c>
    </row>
    <row r="22" customFormat="false" ht="34.2" hidden="false" customHeight="true" outlineLevel="0" collapsed="false">
      <c r="A22" s="39" t="s">
        <v>34</v>
      </c>
    </row>
    <row r="23" customFormat="false" ht="33.35" hidden="false" customHeight="true" outlineLevel="0" collapsed="false">
      <c r="A23" s="39" t="s">
        <v>35</v>
      </c>
    </row>
    <row r="26" customFormat="false" ht="12.8" hidden="false" customHeight="false" outlineLevel="0" collapsed="false"/>
    <row r="27" customFormat="false" ht="29.85" hidden="false" customHeight="true" outlineLevel="0" collapsed="false"/>
    <row r="1048572" customFormat="false" ht="12.75" hidden="false" customHeight="true" outlineLevel="0" collapsed="false"/>
    <row r="1048573" customFormat="false" ht="12.75" hidden="false" customHeight="true" outlineLevel="0" collapsed="false"/>
    <row r="1048574" customFormat="false" ht="12.75" hidden="false" customHeight="true" outlineLevel="0" collapsed="false"/>
    <row r="1048575" customFormat="false" ht="12.75" hidden="false" customHeight="true" outlineLevel="0" collapsed="false"/>
    <row r="1048576" customFormat="false" ht="12.75" hidden="false" customHeight="true" outlineLevel="0" collapsed="false"/>
  </sheetData>
  <mergeCells count="9">
    <mergeCell ref="A1:B2"/>
    <mergeCell ref="G2:N2"/>
    <mergeCell ref="H3:N3"/>
    <mergeCell ref="H4:N4"/>
    <mergeCell ref="H5:N5"/>
    <mergeCell ref="H6:N6"/>
    <mergeCell ref="H7:N7"/>
    <mergeCell ref="H8:N8"/>
    <mergeCell ref="H9:N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1" activeCellId="0" sqref="B11"/>
    </sheetView>
  </sheetViews>
  <sheetFormatPr defaultColWidth="11.109375" defaultRowHeight="12.8" customHeight="false" zeroHeight="false" outlineLevelRow="0" outlineLevelCol="0"/>
  <cols>
    <col collapsed="false" customWidth="true" hidden="false" outlineLevel="0" max="1" min="1" style="1" width="58.44"/>
    <col collapsed="false" customWidth="true" hidden="false" outlineLevel="0" max="2" min="2" style="9" width="11.99"/>
    <col collapsed="false" customWidth="true" hidden="false" outlineLevel="0" max="3" min="3" style="1" width="22.43"/>
    <col collapsed="false" customWidth="true" hidden="false" outlineLevel="0" max="4" min="4" style="1" width="20.64"/>
    <col collapsed="false" customWidth="true" hidden="false" outlineLevel="0" max="5" min="5" style="1" width="24.11"/>
    <col collapsed="false" customWidth="true" hidden="false" outlineLevel="0" max="8" min="8" style="1" width="14.55"/>
    <col collapsed="false" customWidth="true" hidden="false" outlineLevel="0" max="9" min="9" style="1" width="9.56"/>
    <col collapsed="false" customWidth="true" hidden="false" outlineLevel="0" max="12" min="12" style="1" width="42.66"/>
  </cols>
  <sheetData>
    <row r="1" s="2" customFormat="true" ht="48" hidden="false" customHeight="true" outlineLevel="0" collapsed="false">
      <c r="A1" s="40" t="s">
        <v>36</v>
      </c>
      <c r="B1" s="40"/>
      <c r="C1" s="41" t="s">
        <v>37</v>
      </c>
      <c r="D1" s="42" t="s">
        <v>38</v>
      </c>
      <c r="E1" s="42" t="s">
        <v>39</v>
      </c>
      <c r="F1" s="43" t="s">
        <v>40</v>
      </c>
      <c r="G1" s="43"/>
      <c r="H1" s="43"/>
      <c r="I1" s="43" t="n">
        <f aca="false">E2*D2</f>
        <v>32640</v>
      </c>
    </row>
    <row r="2" s="9" customFormat="true" ht="31.95" hidden="false" customHeight="true" outlineLevel="0" collapsed="false">
      <c r="A2" s="40"/>
      <c r="B2" s="40"/>
      <c r="C2" s="44" t="n">
        <v>1</v>
      </c>
      <c r="D2" s="45" t="n">
        <f aca="false">24*4</f>
        <v>96</v>
      </c>
      <c r="E2" s="46" t="n">
        <v>340</v>
      </c>
      <c r="F2" s="47" t="s">
        <v>6</v>
      </c>
      <c r="G2" s="47"/>
      <c r="H2" s="47"/>
      <c r="I2" s="47"/>
      <c r="J2" s="47"/>
      <c r="K2" s="47"/>
      <c r="L2" s="47"/>
      <c r="M2" s="1"/>
      <c r="N2" s="1"/>
      <c r="O2" s="1"/>
    </row>
    <row r="3" customFormat="false" ht="31.95" hidden="false" customHeight="true" outlineLevel="0" collapsed="false">
      <c r="A3" s="48" t="s">
        <v>41</v>
      </c>
      <c r="B3" s="49"/>
      <c r="C3" s="15" t="n">
        <v>65</v>
      </c>
      <c r="D3" s="16" t="n">
        <f aca="false">C3*D2</f>
        <v>6240</v>
      </c>
      <c r="E3" s="16" t="n">
        <f aca="false">D3*E2</f>
        <v>2121600</v>
      </c>
      <c r="F3" s="50" t="n">
        <v>1</v>
      </c>
      <c r="G3" s="51" t="s">
        <v>42</v>
      </c>
      <c r="H3" s="51"/>
      <c r="I3" s="51"/>
      <c r="J3" s="51"/>
      <c r="K3" s="51"/>
      <c r="L3" s="51"/>
    </row>
    <row r="4" customFormat="false" ht="31.95" hidden="false" customHeight="true" outlineLevel="0" collapsed="false">
      <c r="A4" s="13" t="s">
        <v>9</v>
      </c>
      <c r="B4" s="52" t="n">
        <v>0.1</v>
      </c>
      <c r="C4" s="16" t="n">
        <f aca="false">C3*B4</f>
        <v>6.5</v>
      </c>
      <c r="D4" s="16" t="n">
        <f aca="false">D3*B4</f>
        <v>624</v>
      </c>
      <c r="E4" s="16" t="n">
        <f aca="false">E3*B4</f>
        <v>212160</v>
      </c>
      <c r="F4" s="50" t="n">
        <v>2</v>
      </c>
      <c r="G4" s="51" t="s">
        <v>43</v>
      </c>
      <c r="H4" s="51"/>
      <c r="I4" s="51"/>
      <c r="J4" s="51"/>
      <c r="K4" s="51"/>
      <c r="L4" s="51"/>
    </row>
    <row r="5" customFormat="false" ht="31.95" hidden="false" customHeight="true" outlineLevel="0" collapsed="false">
      <c r="A5" s="53" t="s">
        <v>11</v>
      </c>
      <c r="B5" s="54" t="n">
        <v>75000</v>
      </c>
      <c r="C5" s="16" t="n">
        <f aca="false">B5/(D2*E2)</f>
        <v>2.29779411764706</v>
      </c>
      <c r="D5" s="16" t="n">
        <f aca="false">C5*D2</f>
        <v>220.588235294118</v>
      </c>
      <c r="E5" s="16" t="n">
        <f aca="false">B5</f>
        <v>75000</v>
      </c>
      <c r="F5" s="50" t="n">
        <v>3</v>
      </c>
      <c r="G5" s="51" t="s">
        <v>44</v>
      </c>
      <c r="H5" s="51"/>
      <c r="I5" s="51"/>
      <c r="J5" s="51"/>
      <c r="K5" s="51"/>
      <c r="L5" s="51"/>
    </row>
    <row r="6" customFormat="false" ht="31.95" hidden="false" customHeight="true" outlineLevel="0" collapsed="false">
      <c r="A6" s="13" t="s">
        <v>45</v>
      </c>
      <c r="B6" s="49" t="n">
        <v>5000</v>
      </c>
      <c r="C6" s="16" t="n">
        <f aca="false">B6/(D2*E2)</f>
        <v>0.153186274509804</v>
      </c>
      <c r="D6" s="16" t="n">
        <f aca="false">C6*D2</f>
        <v>14.7058823529412</v>
      </c>
      <c r="E6" s="16" t="n">
        <f aca="false">B6</f>
        <v>5000</v>
      </c>
      <c r="F6" s="50" t="n">
        <v>4</v>
      </c>
      <c r="G6" s="51" t="s">
        <v>46</v>
      </c>
      <c r="H6" s="51"/>
      <c r="I6" s="51"/>
      <c r="J6" s="51"/>
      <c r="K6" s="51"/>
      <c r="L6" s="51"/>
    </row>
    <row r="7" customFormat="false" ht="31.95" hidden="false" customHeight="true" outlineLevel="0" collapsed="false">
      <c r="A7" s="13" t="s">
        <v>13</v>
      </c>
      <c r="B7" s="55" t="n">
        <v>0.02</v>
      </c>
      <c r="C7" s="16" t="n">
        <f aca="false">((SUM(C3:C6)*B7))</f>
        <v>1.47901960784314</v>
      </c>
      <c r="D7" s="16" t="n">
        <f aca="false">((SUM(D3:D6)*B7))</f>
        <v>141.985882352941</v>
      </c>
      <c r="E7" s="16" t="n">
        <f aca="false">((SUM(E3:E6)*B7))</f>
        <v>48275.2</v>
      </c>
      <c r="F7" s="50" t="n">
        <v>5</v>
      </c>
      <c r="G7" s="51" t="s">
        <v>47</v>
      </c>
      <c r="H7" s="51"/>
      <c r="I7" s="51"/>
      <c r="J7" s="51"/>
      <c r="K7" s="51"/>
      <c r="L7" s="51"/>
    </row>
    <row r="8" customFormat="false" ht="31.95" hidden="false" customHeight="true" outlineLevel="0" collapsed="false">
      <c r="A8" s="13" t="s">
        <v>15</v>
      </c>
      <c r="B8" s="49"/>
      <c r="C8" s="16" t="n">
        <f aca="false">SUM(C3:C7)</f>
        <v>75.43</v>
      </c>
      <c r="D8" s="16" t="n">
        <f aca="false">SUM(D3:D7)</f>
        <v>7241.28</v>
      </c>
      <c r="E8" s="16" t="n">
        <f aca="false">SUM(E3:E7)</f>
        <v>2462035.2</v>
      </c>
      <c r="F8" s="50" t="n">
        <v>6</v>
      </c>
      <c r="G8" s="51" t="s">
        <v>48</v>
      </c>
      <c r="H8" s="51"/>
      <c r="I8" s="51"/>
      <c r="J8" s="51"/>
      <c r="K8" s="51"/>
      <c r="L8" s="51"/>
    </row>
    <row r="9" customFormat="false" ht="31.95" hidden="false" customHeight="true" outlineLevel="0" collapsed="false">
      <c r="A9" s="13" t="s">
        <v>17</v>
      </c>
      <c r="B9" s="54" t="n">
        <v>78</v>
      </c>
      <c r="C9" s="56" t="n">
        <f aca="false">C8/B9</f>
        <v>0.967051282051282</v>
      </c>
      <c r="D9" s="56" t="n">
        <f aca="false">D8/B9</f>
        <v>92.8369230769231</v>
      </c>
      <c r="E9" s="56" t="n">
        <f aca="false">E8/B9</f>
        <v>31564.5538461539</v>
      </c>
      <c r="F9" s="50" t="n">
        <v>7</v>
      </c>
      <c r="G9" s="51" t="s">
        <v>20</v>
      </c>
      <c r="H9" s="51"/>
      <c r="I9" s="51"/>
      <c r="J9" s="51"/>
      <c r="K9" s="51"/>
      <c r="L9" s="51"/>
    </row>
    <row r="10" customFormat="false" ht="31.95" hidden="false" customHeight="true" outlineLevel="0" collapsed="false">
      <c r="A10" s="57" t="s">
        <v>49</v>
      </c>
      <c r="B10" s="54" t="n">
        <v>5500</v>
      </c>
      <c r="C10" s="16" t="n">
        <f aca="false">B10/(D2*E2)</f>
        <v>0.168504901960784</v>
      </c>
      <c r="D10" s="16" t="n">
        <f aca="false">C10*D2</f>
        <v>16.1764705882353</v>
      </c>
      <c r="E10" s="16" t="n">
        <f aca="false">B10</f>
        <v>5500</v>
      </c>
      <c r="F10" s="50" t="n">
        <v>8</v>
      </c>
      <c r="G10" s="58" t="s">
        <v>50</v>
      </c>
      <c r="H10" s="58"/>
      <c r="I10" s="58"/>
      <c r="J10" s="58"/>
      <c r="K10" s="58"/>
      <c r="L10" s="58"/>
    </row>
    <row r="11" customFormat="false" ht="31.95" hidden="false" customHeight="true" outlineLevel="0" collapsed="false">
      <c r="A11" s="13" t="s">
        <v>21</v>
      </c>
      <c r="B11" s="55" t="n">
        <v>0.005</v>
      </c>
      <c r="C11" s="16" t="n">
        <f aca="false">B11*C10</f>
        <v>0.000842524509803922</v>
      </c>
      <c r="D11" s="16" t="n">
        <f aca="false">B11*D10</f>
        <v>0.0808823529411765</v>
      </c>
      <c r="E11" s="16" t="n">
        <f aca="false">B11*E10</f>
        <v>27.5</v>
      </c>
      <c r="F11" s="50" t="n">
        <v>9</v>
      </c>
      <c r="G11" s="58" t="s">
        <v>51</v>
      </c>
      <c r="H11" s="58"/>
      <c r="I11" s="58"/>
      <c r="J11" s="58"/>
      <c r="K11" s="58"/>
      <c r="L11" s="58"/>
    </row>
    <row r="12" customFormat="false" ht="31.95" hidden="false" customHeight="true" outlineLevel="0" collapsed="false">
      <c r="A12" s="13" t="s">
        <v>52</v>
      </c>
      <c r="B12" s="55"/>
      <c r="C12" s="23" t="n">
        <f aca="false">SUM(C9:C11)</f>
        <v>1.13639870852187</v>
      </c>
      <c r="D12" s="23" t="n">
        <f aca="false">SUM(D9:D11)</f>
        <v>109.0942760181</v>
      </c>
      <c r="E12" s="23" t="n">
        <f aca="false">SUM(E9:E11)</f>
        <v>37092.0538461539</v>
      </c>
    </row>
    <row r="14" customFormat="false" ht="12.75" hidden="false" customHeight="true" outlineLevel="0" collapsed="false"/>
    <row r="15" customFormat="false" ht="21.15" hidden="false" customHeight="true" outlineLevel="0" collapsed="false">
      <c r="A15" s="59"/>
      <c r="D15" s="60" t="s">
        <v>53</v>
      </c>
    </row>
    <row r="16" customFormat="false" ht="37.8" hidden="false" customHeight="true" outlineLevel="0" collapsed="false">
      <c r="A16" s="59"/>
    </row>
    <row r="20" customFormat="false" ht="12.75" hidden="false" customHeight="true" outlineLevel="0" collapsed="false"/>
    <row r="22" customFormat="false" ht="12.75" hidden="false" customHeight="true" outlineLevel="0" collapsed="false"/>
    <row r="25" customFormat="false" ht="12.75" hidden="false" customHeight="true" outlineLevel="0" collapsed="false"/>
    <row r="1048572" customFormat="false" ht="12.75" hidden="false" customHeight="true" outlineLevel="0" collapsed="false"/>
    <row r="1048573" customFormat="false" ht="12.75" hidden="false" customHeight="true" outlineLevel="0" collapsed="false"/>
    <row r="1048574" customFormat="false" ht="12.75" hidden="false" customHeight="true" outlineLevel="0" collapsed="false"/>
    <row r="1048575" customFormat="false" ht="12.75" hidden="false" customHeight="true" outlineLevel="0" collapsed="false"/>
    <row r="1048576" customFormat="false" ht="12.75" hidden="false" customHeight="true" outlineLevel="0" collapsed="false"/>
  </sheetData>
  <mergeCells count="12">
    <mergeCell ref="A1:B2"/>
    <mergeCell ref="F1:H1"/>
    <mergeCell ref="F2:L2"/>
    <mergeCell ref="G3:L3"/>
    <mergeCell ref="G4:L4"/>
    <mergeCell ref="G5:L5"/>
    <mergeCell ref="G6:L6"/>
    <mergeCell ref="G7:L7"/>
    <mergeCell ref="G8:L8"/>
    <mergeCell ref="G9:L9"/>
    <mergeCell ref="G10:L10"/>
    <mergeCell ref="G11:L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2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18" activeCellId="0" sqref="I18"/>
    </sheetView>
  </sheetViews>
  <sheetFormatPr defaultColWidth="78.94140625" defaultRowHeight="78.7" customHeight="false" zeroHeight="false" outlineLevelRow="0" outlineLevelCol="0"/>
  <cols>
    <col collapsed="false" customWidth="true" hidden="false" outlineLevel="0" max="1" min="1" style="61" width="8.89"/>
    <col collapsed="false" customWidth="true" hidden="false" outlineLevel="0" max="2" min="2" style="62" width="32.34"/>
    <col collapsed="false" customWidth="true" hidden="false" outlineLevel="0" max="3" min="3" style="63" width="62.38"/>
    <col collapsed="false" customWidth="true" hidden="false" outlineLevel="0" max="4" min="4" style="62" width="24.26"/>
    <col collapsed="false" customWidth="true" hidden="false" outlineLevel="0" max="5" min="5" style="62" width="12.13"/>
    <col collapsed="false" customWidth="true" hidden="false" outlineLevel="0" max="6" min="6" style="64" width="14.65"/>
    <col collapsed="false" customWidth="true" hidden="false" outlineLevel="0" max="7" min="7" style="65" width="10.12"/>
    <col collapsed="false" customWidth="true" hidden="false" outlineLevel="0" max="8" min="8" style="65" width="13.13"/>
    <col collapsed="false" customWidth="true" hidden="false" outlineLevel="0" max="9" min="9" style="66" width="14.14"/>
    <col collapsed="false" customWidth="true" hidden="false" outlineLevel="0" max="10" min="10" style="66" width="11.62"/>
    <col collapsed="false" customWidth="true" hidden="false" outlineLevel="0" max="11" min="11" style="64" width="7.44"/>
    <col collapsed="false" customWidth="true" hidden="false" outlineLevel="0" max="12" min="12" style="64" width="16.14"/>
    <col collapsed="false" customWidth="true" hidden="false" outlineLevel="0" max="13" min="13" style="64" width="8.67"/>
    <col collapsed="false" customWidth="true" hidden="false" outlineLevel="0" max="14" min="14" style="67" width="11.57"/>
    <col collapsed="false" customWidth="true" hidden="false" outlineLevel="0" max="16" min="15" style="64" width="8.67"/>
    <col collapsed="false" customWidth="true" hidden="false" outlineLevel="0" max="17" min="17" style="64" width="11.57"/>
    <col collapsed="false" customWidth="true" hidden="false" outlineLevel="0" max="19" min="18" style="64" width="8.67"/>
    <col collapsed="false" customWidth="true" hidden="false" outlineLevel="0" max="20" min="20" style="68" width="9.44"/>
    <col collapsed="false" customWidth="true" hidden="false" outlineLevel="0" max="22" min="21" style="64" width="7.44"/>
    <col collapsed="false" customWidth="true" hidden="false" outlineLevel="0" max="24" min="23" style="64" width="8.67"/>
    <col collapsed="false" customWidth="true" hidden="false" outlineLevel="0" max="25" min="25" style="64" width="11.33"/>
    <col collapsed="false" customWidth="true" hidden="false" outlineLevel="0" max="26" min="26" style="64" width="8.67"/>
    <col collapsed="false" customWidth="true" hidden="false" outlineLevel="0" max="27" min="27" style="64" width="7.44"/>
    <col collapsed="false" customWidth="true" hidden="false" outlineLevel="0" max="28" min="28" style="69" width="12.37"/>
    <col collapsed="false" customWidth="true" hidden="false" outlineLevel="0" max="29" min="29" style="64" width="12.89"/>
    <col collapsed="false" customWidth="true" hidden="false" outlineLevel="0" max="30" min="30" style="1" width="13.63"/>
    <col collapsed="false" customWidth="true" hidden="false" outlineLevel="0" max="31" min="31" style="1" width="11.57"/>
    <col collapsed="false" customWidth="true" hidden="false" outlineLevel="0" max="32" min="32" style="62" width="15.92"/>
    <col collapsed="false" customWidth="true" hidden="false" outlineLevel="0" max="35" min="33" style="62" width="13.63"/>
    <col collapsed="false" customWidth="true" hidden="false" outlineLevel="0" max="36" min="36" style="62" width="15.92"/>
    <col collapsed="false" customWidth="true" hidden="false" outlineLevel="0" max="37" min="37" style="62" width="17.43"/>
    <col collapsed="false" customWidth="true" hidden="false" outlineLevel="0" max="38" min="38" style="62" width="20.11"/>
    <col collapsed="false" customWidth="true" hidden="false" outlineLevel="0" max="220" min="39" style="62" width="78.33"/>
    <col collapsed="false" customWidth="true" hidden="false" outlineLevel="0" max="1024" min="1023" style="1" width="11.52"/>
  </cols>
  <sheetData>
    <row r="1" s="87" customFormat="true" ht="94.05" hidden="false" customHeight="true" outlineLevel="0" collapsed="false">
      <c r="A1" s="70" t="s">
        <v>54</v>
      </c>
      <c r="B1" s="71" t="s">
        <v>55</v>
      </c>
      <c r="C1" s="71" t="s">
        <v>56</v>
      </c>
      <c r="D1" s="72" t="s">
        <v>57</v>
      </c>
      <c r="E1" s="73" t="s">
        <v>58</v>
      </c>
      <c r="F1" s="74" t="s">
        <v>59</v>
      </c>
      <c r="G1" s="75" t="s">
        <v>60</v>
      </c>
      <c r="H1" s="76" t="s">
        <v>61</v>
      </c>
      <c r="I1" s="76" t="s">
        <v>62</v>
      </c>
      <c r="J1" s="76"/>
      <c r="K1" s="74" t="s">
        <v>63</v>
      </c>
      <c r="L1" s="74" t="s">
        <v>64</v>
      </c>
      <c r="M1" s="77" t="s">
        <v>65</v>
      </c>
      <c r="N1" s="78" t="s">
        <v>66</v>
      </c>
      <c r="O1" s="74" t="s">
        <v>67</v>
      </c>
      <c r="P1" s="74" t="s">
        <v>68</v>
      </c>
      <c r="Q1" s="74" t="s">
        <v>69</v>
      </c>
      <c r="R1" s="79" t="s">
        <v>70</v>
      </c>
      <c r="S1" s="74" t="s">
        <v>71</v>
      </c>
      <c r="T1" s="80" t="s">
        <v>72</v>
      </c>
      <c r="U1" s="81" t="s">
        <v>73</v>
      </c>
      <c r="V1" s="74" t="s">
        <v>74</v>
      </c>
      <c r="W1" s="74" t="s">
        <v>75</v>
      </c>
      <c r="X1" s="74" t="s">
        <v>76</v>
      </c>
      <c r="Y1" s="74" t="s">
        <v>77</v>
      </c>
      <c r="Z1" s="82" t="s">
        <v>78</v>
      </c>
      <c r="AA1" s="82" t="s">
        <v>79</v>
      </c>
      <c r="AB1" s="83" t="s">
        <v>80</v>
      </c>
      <c r="AC1" s="84" t="s">
        <v>81</v>
      </c>
      <c r="AD1" s="85" t="s">
        <v>82</v>
      </c>
      <c r="AE1" s="86"/>
      <c r="AF1" s="85" t="s">
        <v>83</v>
      </c>
      <c r="AG1" s="85" t="s">
        <v>82</v>
      </c>
      <c r="AH1" s="82" t="s">
        <v>84</v>
      </c>
      <c r="AI1" s="82" t="s">
        <v>85</v>
      </c>
      <c r="AJ1" s="85" t="s">
        <v>86</v>
      </c>
      <c r="AK1" s="85" t="s">
        <v>87</v>
      </c>
      <c r="AMG1" s="88"/>
      <c r="AMH1" s="88"/>
      <c r="AMI1" s="1"/>
      <c r="AMJ1" s="1"/>
    </row>
    <row r="2" s="100" customFormat="true" ht="52.5" hidden="false" customHeight="true" outlineLevel="0" collapsed="false">
      <c r="A2" s="89"/>
      <c r="B2" s="90"/>
      <c r="C2" s="91"/>
      <c r="D2" s="92"/>
      <c r="E2" s="93"/>
      <c r="F2" s="94"/>
      <c r="G2" s="95"/>
      <c r="H2" s="95"/>
      <c r="I2" s="96"/>
      <c r="J2" s="96" t="s">
        <v>23</v>
      </c>
      <c r="K2" s="94"/>
      <c r="L2" s="94"/>
      <c r="M2" s="94"/>
      <c r="N2" s="78"/>
      <c r="O2" s="94"/>
      <c r="P2" s="94"/>
      <c r="Q2" s="94"/>
      <c r="R2" s="94"/>
      <c r="S2" s="94"/>
      <c r="T2" s="97" t="n">
        <v>0.1</v>
      </c>
      <c r="U2" s="94"/>
      <c r="V2" s="98" t="n">
        <f aca="false">E18</f>
        <v>78.4444444444444</v>
      </c>
      <c r="W2" s="94"/>
      <c r="X2" s="94"/>
      <c r="Y2" s="77" t="n">
        <v>2</v>
      </c>
      <c r="Z2" s="94"/>
      <c r="AA2" s="98" t="n">
        <v>81</v>
      </c>
      <c r="AB2" s="99" t="s">
        <v>88</v>
      </c>
      <c r="AC2" s="99"/>
      <c r="AD2" s="94"/>
      <c r="AF2" s="85" t="s">
        <v>89</v>
      </c>
      <c r="AG2" s="85"/>
      <c r="AH2" s="85"/>
      <c r="AI2" s="85"/>
      <c r="AJ2" s="85"/>
      <c r="AK2" s="101"/>
      <c r="AL2" s="102" t="n">
        <v>1</v>
      </c>
      <c r="AM2" s="103" t="s">
        <v>42</v>
      </c>
      <c r="AN2" s="104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  <c r="FL2" s="105"/>
      <c r="FM2" s="105"/>
      <c r="FN2" s="105"/>
      <c r="FO2" s="105"/>
      <c r="FP2" s="105"/>
      <c r="FQ2" s="105"/>
      <c r="FR2" s="105"/>
      <c r="FS2" s="105"/>
      <c r="FT2" s="105"/>
      <c r="FU2" s="105"/>
      <c r="FV2" s="105"/>
      <c r="FW2" s="105"/>
      <c r="FX2" s="105"/>
      <c r="FY2" s="105"/>
      <c r="FZ2" s="105"/>
      <c r="GA2" s="105"/>
      <c r="GB2" s="105"/>
      <c r="GC2" s="105"/>
      <c r="GD2" s="105"/>
      <c r="GE2" s="105"/>
      <c r="GF2" s="105"/>
      <c r="GG2" s="105"/>
      <c r="GH2" s="105"/>
      <c r="GI2" s="105"/>
      <c r="GJ2" s="105"/>
      <c r="GK2" s="105"/>
      <c r="GL2" s="105"/>
      <c r="GM2" s="105"/>
      <c r="GN2" s="105"/>
      <c r="GO2" s="105"/>
      <c r="GP2" s="105"/>
      <c r="GQ2" s="105"/>
      <c r="GR2" s="105"/>
      <c r="GS2" s="105"/>
      <c r="GT2" s="105"/>
      <c r="GU2" s="105"/>
      <c r="GV2" s="105"/>
      <c r="GW2" s="105"/>
      <c r="GX2" s="105"/>
      <c r="GY2" s="105"/>
      <c r="GZ2" s="105"/>
      <c r="HA2" s="105"/>
      <c r="HB2" s="105"/>
      <c r="HC2" s="105"/>
      <c r="HD2" s="105"/>
      <c r="HE2" s="105"/>
      <c r="HF2" s="105"/>
      <c r="HG2" s="105"/>
      <c r="HH2" s="105"/>
      <c r="HI2" s="105"/>
      <c r="HJ2" s="105"/>
      <c r="HK2" s="105"/>
      <c r="HL2" s="105"/>
      <c r="AMG2" s="106"/>
      <c r="AMH2" s="106"/>
      <c r="AMI2" s="1"/>
      <c r="AMJ2" s="1"/>
    </row>
    <row r="3" s="100" customFormat="true" ht="52.5" hidden="false" customHeight="true" outlineLevel="0" collapsed="false">
      <c r="A3" s="107" t="n">
        <v>1</v>
      </c>
      <c r="B3" s="108" t="s">
        <v>90</v>
      </c>
      <c r="C3" s="91" t="s">
        <v>91</v>
      </c>
      <c r="D3" s="109" t="n">
        <v>0.5</v>
      </c>
      <c r="E3" s="110" t="n">
        <f aca="false">1/D3</f>
        <v>2</v>
      </c>
      <c r="F3" s="111" t="n">
        <v>2500</v>
      </c>
      <c r="G3" s="112" t="n">
        <f aca="false">SUM(D3*F3)</f>
        <v>1250</v>
      </c>
      <c r="H3" s="113" t="n">
        <f aca="false">G3/6500</f>
        <v>0.192307692307692</v>
      </c>
      <c r="I3" s="114" t="n">
        <f aca="false">H3*100</f>
        <v>19.2307692307692</v>
      </c>
      <c r="J3" s="114" t="n">
        <f aca="false">I3%*29</f>
        <v>5.57692307692308</v>
      </c>
      <c r="K3" s="111" t="n">
        <v>25</v>
      </c>
      <c r="L3" s="111" t="n">
        <f aca="false">G3+K3</f>
        <v>1275</v>
      </c>
      <c r="M3" s="111" t="n">
        <v>199.5</v>
      </c>
      <c r="N3" s="115" t="n">
        <v>5</v>
      </c>
      <c r="O3" s="116" t="n">
        <f aca="false">M3*100/105</f>
        <v>190</v>
      </c>
      <c r="P3" s="117" t="n">
        <f aca="false">L3*O3/G3</f>
        <v>193.8</v>
      </c>
      <c r="Q3" s="111" t="n">
        <f aca="false">P3/E3</f>
        <v>96.9</v>
      </c>
      <c r="R3" s="111" t="n">
        <v>6.6</v>
      </c>
      <c r="S3" s="111" t="n">
        <f aca="false">Q3*E3+R3</f>
        <v>200.4</v>
      </c>
      <c r="T3" s="118" t="n">
        <f aca="false">$T$2</f>
        <v>0.1</v>
      </c>
      <c r="U3" s="119" t="n">
        <f aca="false">S3*T3</f>
        <v>20.04</v>
      </c>
      <c r="V3" s="111" t="n">
        <f aca="false">$V$2</f>
        <v>78.4444444444444</v>
      </c>
      <c r="W3" s="111" t="n">
        <f aca="false">S3+U3+V3</f>
        <v>298.884444444444</v>
      </c>
      <c r="X3" s="111" t="n">
        <f aca="false">W3/E3</f>
        <v>149.442222222222</v>
      </c>
      <c r="Y3" s="111" t="n">
        <f aca="false">$Y$2</f>
        <v>2</v>
      </c>
      <c r="Z3" s="111" t="n">
        <f aca="false">X3+Y3</f>
        <v>151.442222222222</v>
      </c>
      <c r="AA3" s="111" t="n">
        <f aca="false">$AA$2</f>
        <v>81</v>
      </c>
      <c r="AB3" s="120" t="n">
        <f aca="false">Z3/AA3</f>
        <v>1.86965706447188</v>
      </c>
      <c r="AC3" s="121" t="n">
        <f aca="false">AB3*F3</f>
        <v>4674.1426611797</v>
      </c>
      <c r="AD3" s="111" t="n">
        <f aca="false">U3*G3</f>
        <v>25050</v>
      </c>
      <c r="AE3" s="122"/>
      <c r="AF3" s="117" t="n">
        <f aca="false">F3*Q3</f>
        <v>242250</v>
      </c>
      <c r="AG3" s="117" t="n">
        <f aca="false">U3*G3</f>
        <v>25050</v>
      </c>
      <c r="AH3" s="123" t="n">
        <f aca="false">G3*R3</f>
        <v>8250</v>
      </c>
      <c r="AI3" s="123" t="n">
        <f aca="false">Y3*F3</f>
        <v>5000</v>
      </c>
      <c r="AJ3" s="117" t="n">
        <f aca="false">V3*G3</f>
        <v>98055.5555555556</v>
      </c>
      <c r="AK3" s="117" t="n">
        <f aca="false">SUM(AF3:AJ3)</f>
        <v>378605.555555556</v>
      </c>
      <c r="AL3" s="102" t="n">
        <v>2</v>
      </c>
      <c r="AM3" s="103" t="s">
        <v>92</v>
      </c>
      <c r="AN3" s="104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5"/>
      <c r="EZ3" s="105"/>
      <c r="FA3" s="105"/>
      <c r="FB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FM3" s="105"/>
      <c r="FN3" s="105"/>
      <c r="FO3" s="105"/>
      <c r="FP3" s="105"/>
      <c r="FQ3" s="105"/>
      <c r="FR3" s="105"/>
      <c r="FS3" s="105"/>
      <c r="FT3" s="105"/>
      <c r="FU3" s="105"/>
      <c r="FV3" s="105"/>
      <c r="FW3" s="105"/>
      <c r="FX3" s="105"/>
      <c r="FY3" s="105"/>
      <c r="FZ3" s="105"/>
      <c r="GA3" s="105"/>
      <c r="GB3" s="105"/>
      <c r="GC3" s="105"/>
      <c r="GD3" s="105"/>
      <c r="GE3" s="105"/>
      <c r="GF3" s="105"/>
      <c r="GG3" s="105"/>
      <c r="GH3" s="105"/>
      <c r="GI3" s="105"/>
      <c r="GJ3" s="105"/>
      <c r="GK3" s="105"/>
      <c r="GL3" s="105"/>
      <c r="GM3" s="105"/>
      <c r="GN3" s="105"/>
      <c r="GO3" s="105"/>
      <c r="GP3" s="105"/>
      <c r="GQ3" s="105"/>
      <c r="GR3" s="105"/>
      <c r="GS3" s="105"/>
      <c r="GT3" s="105"/>
      <c r="GU3" s="105"/>
      <c r="GV3" s="105"/>
      <c r="GW3" s="105"/>
      <c r="GX3" s="105"/>
      <c r="GY3" s="105"/>
      <c r="GZ3" s="105"/>
      <c r="HA3" s="105"/>
      <c r="HB3" s="105"/>
      <c r="HC3" s="105"/>
      <c r="HD3" s="105"/>
      <c r="HE3" s="105"/>
      <c r="HF3" s="105"/>
      <c r="HG3" s="105"/>
      <c r="HH3" s="105"/>
      <c r="HI3" s="105"/>
      <c r="HJ3" s="105"/>
      <c r="HK3" s="105"/>
      <c r="HL3" s="105"/>
      <c r="AMG3" s="106"/>
      <c r="AMH3" s="106"/>
      <c r="AMI3" s="1"/>
      <c r="AMJ3" s="1"/>
    </row>
    <row r="4" s="100" customFormat="true" ht="52.5" hidden="false" customHeight="true" outlineLevel="0" collapsed="false">
      <c r="A4" s="107" t="n">
        <v>2</v>
      </c>
      <c r="B4" s="90" t="s">
        <v>93</v>
      </c>
      <c r="C4" s="91" t="s">
        <v>94</v>
      </c>
      <c r="D4" s="109" t="n">
        <v>0.5</v>
      </c>
      <c r="E4" s="110" t="n">
        <f aca="false">1/D4</f>
        <v>2</v>
      </c>
      <c r="F4" s="111" t="n">
        <v>2000</v>
      </c>
      <c r="G4" s="112" t="n">
        <f aca="false">SUM(D4*F4)</f>
        <v>1000</v>
      </c>
      <c r="H4" s="113" t="n">
        <f aca="false">G4/2200</f>
        <v>0.454545454545455</v>
      </c>
      <c r="I4" s="114" t="n">
        <f aca="false">H4*100</f>
        <v>45.4545454545455</v>
      </c>
      <c r="J4" s="114" t="n">
        <f aca="false">I4%*29</f>
        <v>13.1818181818182</v>
      </c>
      <c r="K4" s="111" t="n">
        <v>10</v>
      </c>
      <c r="L4" s="111" t="n">
        <f aca="false">G4+K4</f>
        <v>1010</v>
      </c>
      <c r="M4" s="111" t="n">
        <v>46</v>
      </c>
      <c r="N4" s="115" t="s">
        <v>95</v>
      </c>
      <c r="O4" s="111" t="n">
        <f aca="false">M4</f>
        <v>46</v>
      </c>
      <c r="P4" s="117" t="n">
        <f aca="false">L4*O4/G4</f>
        <v>46.46</v>
      </c>
      <c r="Q4" s="111" t="n">
        <f aca="false">P4/E4</f>
        <v>23.23</v>
      </c>
      <c r="R4" s="111" t="n">
        <v>2.7</v>
      </c>
      <c r="S4" s="111" t="n">
        <f aca="false">Q4*E4+R4</f>
        <v>49.16</v>
      </c>
      <c r="T4" s="118" t="n">
        <f aca="false">$T$2</f>
        <v>0.1</v>
      </c>
      <c r="U4" s="119" t="n">
        <f aca="false">S4*T4</f>
        <v>4.916</v>
      </c>
      <c r="V4" s="111" t="n">
        <f aca="false">$V$2</f>
        <v>78.4444444444444</v>
      </c>
      <c r="W4" s="111" t="n">
        <f aca="false">S4+U4+V4</f>
        <v>132.520444444444</v>
      </c>
      <c r="X4" s="111" t="n">
        <f aca="false">W4/E4</f>
        <v>66.2602222222222</v>
      </c>
      <c r="Y4" s="111" t="n">
        <f aca="false">$Y$2</f>
        <v>2</v>
      </c>
      <c r="Z4" s="111" t="n">
        <f aca="false">X4+Y4</f>
        <v>68.2602222222222</v>
      </c>
      <c r="AA4" s="111" t="n">
        <f aca="false">$AA$2</f>
        <v>81</v>
      </c>
      <c r="AB4" s="120" t="n">
        <f aca="false">Z4/AA4</f>
        <v>0.842718792866941</v>
      </c>
      <c r="AC4" s="121" t="n">
        <f aca="false">AB4*F4</f>
        <v>1685.43758573388</v>
      </c>
      <c r="AD4" s="112" t="n">
        <f aca="false">U4*G4</f>
        <v>4916</v>
      </c>
      <c r="AE4" s="122"/>
      <c r="AF4" s="117" t="n">
        <f aca="false">F4*Q4</f>
        <v>46460</v>
      </c>
      <c r="AG4" s="117" t="n">
        <f aca="false">U4*G4</f>
        <v>4916</v>
      </c>
      <c r="AH4" s="123" t="n">
        <f aca="false">G4*R4</f>
        <v>2700</v>
      </c>
      <c r="AI4" s="123" t="n">
        <f aca="false">Y4*F4</f>
        <v>4000</v>
      </c>
      <c r="AJ4" s="117" t="n">
        <f aca="false">V4*G4</f>
        <v>78444.4444444444</v>
      </c>
      <c r="AK4" s="117" t="n">
        <f aca="false">SUM(AF4:AJ4)</f>
        <v>136520.444444444</v>
      </c>
      <c r="AL4" s="102" t="n">
        <v>3</v>
      </c>
      <c r="AM4" s="103" t="s">
        <v>96</v>
      </c>
      <c r="AN4" s="104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AMG4" s="106"/>
      <c r="AMH4" s="106"/>
      <c r="AMI4" s="1"/>
      <c r="AMJ4" s="1"/>
    </row>
    <row r="5" s="100" customFormat="true" ht="52.5" hidden="false" customHeight="true" outlineLevel="0" collapsed="false">
      <c r="A5" s="107" t="n">
        <v>3</v>
      </c>
      <c r="B5" s="90" t="s">
        <v>97</v>
      </c>
      <c r="C5" s="91" t="s">
        <v>98</v>
      </c>
      <c r="D5" s="109" t="n">
        <v>0.25</v>
      </c>
      <c r="E5" s="110" t="n">
        <f aca="false">1/D5</f>
        <v>4</v>
      </c>
      <c r="F5" s="111" t="n">
        <v>2000</v>
      </c>
      <c r="G5" s="112" t="n">
        <f aca="false">SUM(D5*F5)</f>
        <v>500</v>
      </c>
      <c r="H5" s="113" t="n">
        <f aca="false">G5/13000</f>
        <v>0.0384615384615385</v>
      </c>
      <c r="I5" s="114" t="n">
        <f aca="false">H5*100</f>
        <v>3.84615384615385</v>
      </c>
      <c r="J5" s="114" t="n">
        <f aca="false">I5%*29</f>
        <v>1.11538461538462</v>
      </c>
      <c r="K5" s="111" t="n">
        <v>5</v>
      </c>
      <c r="L5" s="111" t="n">
        <f aca="false">G5+K5</f>
        <v>505</v>
      </c>
      <c r="M5" s="111" t="n">
        <v>235</v>
      </c>
      <c r="N5" s="115" t="n">
        <v>5</v>
      </c>
      <c r="O5" s="111" t="n">
        <f aca="false">M5*100/105</f>
        <v>223.809523809524</v>
      </c>
      <c r="P5" s="117" t="n">
        <f aca="false">L5*O5/G5</f>
        <v>226.047619047619</v>
      </c>
      <c r="Q5" s="111" t="n">
        <f aca="false">P5/E5</f>
        <v>56.5119047619048</v>
      </c>
      <c r="R5" s="111" t="n">
        <v>3</v>
      </c>
      <c r="S5" s="111" t="n">
        <f aca="false">Q5*E5+R5</f>
        <v>229.047619047619</v>
      </c>
      <c r="T5" s="118" t="n">
        <f aca="false">$T$2</f>
        <v>0.1</v>
      </c>
      <c r="U5" s="119" t="n">
        <f aca="false">S5*T5</f>
        <v>22.9047619047619</v>
      </c>
      <c r="V5" s="111" t="n">
        <f aca="false">$V$2</f>
        <v>78.4444444444444</v>
      </c>
      <c r="W5" s="111" t="n">
        <f aca="false">S5+U5+V5</f>
        <v>330.396825396825</v>
      </c>
      <c r="X5" s="111" t="n">
        <f aca="false">W5/E5</f>
        <v>82.5992063492063</v>
      </c>
      <c r="Y5" s="111" t="n">
        <f aca="false">$Y$2</f>
        <v>2</v>
      </c>
      <c r="Z5" s="111" t="n">
        <f aca="false">X5+Y5</f>
        <v>84.5992063492063</v>
      </c>
      <c r="AA5" s="111" t="n">
        <f aca="false">$AA$2</f>
        <v>81</v>
      </c>
      <c r="AB5" s="120" t="n">
        <f aca="false">Z5/AA5</f>
        <v>1.0444346462865</v>
      </c>
      <c r="AC5" s="121" t="n">
        <f aca="false">AB5*F5</f>
        <v>2088.869292573</v>
      </c>
      <c r="AD5" s="111" t="n">
        <f aca="false">U5*G5</f>
        <v>11452.380952381</v>
      </c>
      <c r="AE5" s="122"/>
      <c r="AF5" s="117" t="n">
        <f aca="false">F5*Q5</f>
        <v>113023.80952381</v>
      </c>
      <c r="AG5" s="117" t="n">
        <f aca="false">U5*G5</f>
        <v>11452.380952381</v>
      </c>
      <c r="AH5" s="123" t="n">
        <f aca="false">G5*R5</f>
        <v>1500</v>
      </c>
      <c r="AI5" s="123" t="n">
        <f aca="false">Y5*F5</f>
        <v>4000</v>
      </c>
      <c r="AJ5" s="117" t="n">
        <f aca="false">V5*G5</f>
        <v>39222.2222222222</v>
      </c>
      <c r="AK5" s="117" t="n">
        <f aca="false">SUM(AF5:AJ5)</f>
        <v>169198.412698413</v>
      </c>
      <c r="AL5" s="102" t="n">
        <v>4</v>
      </c>
      <c r="AM5" s="103" t="s">
        <v>99</v>
      </c>
      <c r="AN5" s="104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AMG5" s="106"/>
      <c r="AMH5" s="106"/>
      <c r="AMI5" s="1"/>
      <c r="AMJ5" s="1"/>
    </row>
    <row r="6" s="100" customFormat="true" ht="52.5" hidden="false" customHeight="true" outlineLevel="0" collapsed="false">
      <c r="A6" s="107" t="n">
        <v>4</v>
      </c>
      <c r="B6" s="90" t="s">
        <v>100</v>
      </c>
      <c r="C6" s="91" t="s">
        <v>101</v>
      </c>
      <c r="D6" s="109" t="n">
        <v>0.5</v>
      </c>
      <c r="E6" s="110" t="n">
        <f aca="false">1/D6</f>
        <v>2</v>
      </c>
      <c r="F6" s="111" t="n">
        <v>2500</v>
      </c>
      <c r="G6" s="112" t="n">
        <f aca="false">SUM(D6*F6)</f>
        <v>1250</v>
      </c>
      <c r="H6" s="113" t="n">
        <f aca="false">G6/13000</f>
        <v>0.0961538461538462</v>
      </c>
      <c r="I6" s="114" t="n">
        <f aca="false">H6*100</f>
        <v>9.61538461538462</v>
      </c>
      <c r="J6" s="114" t="n">
        <f aca="false">I6%*29</f>
        <v>2.78846153846154</v>
      </c>
      <c r="K6" s="111" t="n">
        <v>15</v>
      </c>
      <c r="L6" s="111" t="n">
        <f aca="false">G6+K6</f>
        <v>1265</v>
      </c>
      <c r="M6" s="111" t="n">
        <v>170</v>
      </c>
      <c r="N6" s="115" t="n">
        <v>5</v>
      </c>
      <c r="O6" s="111" t="n">
        <f aca="false">M6*100/105</f>
        <v>161.904761904762</v>
      </c>
      <c r="P6" s="117" t="n">
        <f aca="false">L6*O6/G6</f>
        <v>163.847619047619</v>
      </c>
      <c r="Q6" s="111" t="n">
        <f aca="false">P6/E6</f>
        <v>81.9238095238095</v>
      </c>
      <c r="R6" s="111" t="n">
        <v>6.6</v>
      </c>
      <c r="S6" s="111" t="n">
        <f aca="false">Q6*E6+R6</f>
        <v>170.447619047619</v>
      </c>
      <c r="T6" s="118" t="n">
        <f aca="false">$T$2</f>
        <v>0.1</v>
      </c>
      <c r="U6" s="119" t="n">
        <f aca="false">S6*T6</f>
        <v>17.0447619047619</v>
      </c>
      <c r="V6" s="111" t="n">
        <f aca="false">$V$2</f>
        <v>78.4444444444444</v>
      </c>
      <c r="W6" s="111" t="n">
        <f aca="false">S6+U6+V6</f>
        <v>265.936825396825</v>
      </c>
      <c r="X6" s="111" t="n">
        <f aca="false">W6/E6</f>
        <v>132.968412698413</v>
      </c>
      <c r="Y6" s="111" t="n">
        <f aca="false">$Y$2</f>
        <v>2</v>
      </c>
      <c r="Z6" s="111" t="n">
        <f aca="false">X6+Y6</f>
        <v>134.968412698413</v>
      </c>
      <c r="AA6" s="111" t="n">
        <f aca="false">$AA$2</f>
        <v>81</v>
      </c>
      <c r="AB6" s="120" t="n">
        <f aca="false">Z6/AA6</f>
        <v>1.6662766999804</v>
      </c>
      <c r="AC6" s="121" t="n">
        <f aca="false">AB6*F6</f>
        <v>4165.69174995101</v>
      </c>
      <c r="AD6" s="111" t="n">
        <f aca="false">U6*G6</f>
        <v>21305.9523809524</v>
      </c>
      <c r="AE6" s="122"/>
      <c r="AF6" s="117" t="n">
        <f aca="false">F6*Q6</f>
        <v>204809.523809524</v>
      </c>
      <c r="AG6" s="117" t="n">
        <f aca="false">U6*G6</f>
        <v>21305.9523809524</v>
      </c>
      <c r="AH6" s="123" t="n">
        <f aca="false">G6*R6</f>
        <v>8250</v>
      </c>
      <c r="AI6" s="123" t="n">
        <f aca="false">Y6*F6</f>
        <v>5000</v>
      </c>
      <c r="AJ6" s="117" t="n">
        <f aca="false">V6*G6</f>
        <v>98055.5555555556</v>
      </c>
      <c r="AK6" s="117" t="n">
        <f aca="false">SUM(AF6:AJ6)</f>
        <v>337421.031746032</v>
      </c>
      <c r="AL6" s="102" t="n">
        <v>5</v>
      </c>
      <c r="AM6" s="103" t="s">
        <v>47</v>
      </c>
      <c r="AN6" s="104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05"/>
      <c r="DZ6" s="105"/>
      <c r="EA6" s="105"/>
      <c r="EB6" s="105"/>
      <c r="EC6" s="105"/>
      <c r="ED6" s="105"/>
      <c r="EE6" s="105"/>
      <c r="EF6" s="105"/>
      <c r="EG6" s="105"/>
      <c r="EH6" s="105"/>
      <c r="EI6" s="105"/>
      <c r="EJ6" s="105"/>
      <c r="EK6" s="105"/>
      <c r="EL6" s="105"/>
      <c r="EM6" s="105"/>
      <c r="EN6" s="105"/>
      <c r="EO6" s="105"/>
      <c r="EP6" s="105"/>
      <c r="EQ6" s="105"/>
      <c r="ER6" s="105"/>
      <c r="ES6" s="105"/>
      <c r="ET6" s="105"/>
      <c r="EU6" s="105"/>
      <c r="EV6" s="105"/>
      <c r="EW6" s="105"/>
      <c r="EX6" s="105"/>
      <c r="EY6" s="105"/>
      <c r="EZ6" s="105"/>
      <c r="FA6" s="105"/>
      <c r="FB6" s="105"/>
      <c r="FC6" s="105"/>
      <c r="FD6" s="105"/>
      <c r="FE6" s="105"/>
      <c r="FF6" s="105"/>
      <c r="FG6" s="105"/>
      <c r="FH6" s="105"/>
      <c r="FI6" s="105"/>
      <c r="FJ6" s="105"/>
      <c r="FK6" s="105"/>
      <c r="FL6" s="105"/>
      <c r="FM6" s="105"/>
      <c r="FN6" s="105"/>
      <c r="FO6" s="105"/>
      <c r="FP6" s="105"/>
      <c r="FQ6" s="105"/>
      <c r="FR6" s="105"/>
      <c r="FS6" s="105"/>
      <c r="FT6" s="105"/>
      <c r="FU6" s="105"/>
      <c r="FV6" s="105"/>
      <c r="FW6" s="105"/>
      <c r="FX6" s="105"/>
      <c r="FY6" s="105"/>
      <c r="FZ6" s="105"/>
      <c r="GA6" s="105"/>
      <c r="GB6" s="105"/>
      <c r="GC6" s="105"/>
      <c r="GD6" s="105"/>
      <c r="GE6" s="105"/>
      <c r="GF6" s="105"/>
      <c r="GG6" s="105"/>
      <c r="GH6" s="105"/>
      <c r="GI6" s="105"/>
      <c r="GJ6" s="105"/>
      <c r="GK6" s="105"/>
      <c r="GL6" s="105"/>
      <c r="GM6" s="105"/>
      <c r="GN6" s="105"/>
      <c r="GO6" s="105"/>
      <c r="GP6" s="105"/>
      <c r="GQ6" s="105"/>
      <c r="GR6" s="105"/>
      <c r="GS6" s="105"/>
      <c r="GT6" s="105"/>
      <c r="GU6" s="105"/>
      <c r="GV6" s="105"/>
      <c r="GW6" s="105"/>
      <c r="GX6" s="105"/>
      <c r="GY6" s="105"/>
      <c r="GZ6" s="105"/>
      <c r="HA6" s="105"/>
      <c r="HB6" s="105"/>
      <c r="HC6" s="105"/>
      <c r="HD6" s="105"/>
      <c r="HE6" s="105"/>
      <c r="HF6" s="105"/>
      <c r="HG6" s="105"/>
      <c r="HH6" s="105"/>
      <c r="HI6" s="105"/>
      <c r="HJ6" s="105"/>
      <c r="HK6" s="105"/>
      <c r="HL6" s="105"/>
      <c r="AMG6" s="106"/>
      <c r="AMH6" s="106"/>
      <c r="AMI6" s="1"/>
      <c r="AMJ6" s="1"/>
    </row>
    <row r="7" s="100" customFormat="true" ht="52.5" hidden="false" customHeight="true" outlineLevel="0" collapsed="false">
      <c r="A7" s="107" t="n">
        <v>5</v>
      </c>
      <c r="B7" s="90" t="s">
        <v>102</v>
      </c>
      <c r="C7" s="91" t="s">
        <v>103</v>
      </c>
      <c r="D7" s="109" t="n">
        <v>0.25</v>
      </c>
      <c r="E7" s="110" t="n">
        <f aca="false">1/D7</f>
        <v>4</v>
      </c>
      <c r="F7" s="111" t="n">
        <v>2000</v>
      </c>
      <c r="G7" s="112" t="n">
        <f aca="false">SUM(D7*F7)</f>
        <v>500</v>
      </c>
      <c r="H7" s="113" t="n">
        <f aca="false">G7/24000</f>
        <v>0.0208333333333333</v>
      </c>
      <c r="I7" s="114" t="n">
        <f aca="false">H7*100</f>
        <v>2.08333333333333</v>
      </c>
      <c r="J7" s="114" t="n">
        <f aca="false">I7%*29</f>
        <v>0.604166666666667</v>
      </c>
      <c r="K7" s="111" t="n">
        <v>5</v>
      </c>
      <c r="L7" s="111" t="n">
        <f aca="false">G7+K7</f>
        <v>505</v>
      </c>
      <c r="M7" s="111" t="n">
        <v>78</v>
      </c>
      <c r="N7" s="115" t="n">
        <v>5</v>
      </c>
      <c r="O7" s="111" t="n">
        <f aca="false">M7*100/105</f>
        <v>74.2857142857143</v>
      </c>
      <c r="P7" s="117" t="n">
        <f aca="false">L7*O7/G7</f>
        <v>75.0285714285714</v>
      </c>
      <c r="Q7" s="111" t="n">
        <f aca="false">P7/E7</f>
        <v>18.7571428571429</v>
      </c>
      <c r="R7" s="111" t="n">
        <v>3</v>
      </c>
      <c r="S7" s="111" t="n">
        <f aca="false">Q7*E7+R7</f>
        <v>78.0285714285714</v>
      </c>
      <c r="T7" s="118" t="n">
        <f aca="false">$T$2</f>
        <v>0.1</v>
      </c>
      <c r="U7" s="119" t="n">
        <f aca="false">S7*T7</f>
        <v>7.80285714285714</v>
      </c>
      <c r="V7" s="111" t="n">
        <f aca="false">$V$2</f>
        <v>78.4444444444444</v>
      </c>
      <c r="W7" s="111" t="n">
        <f aca="false">S7+U7+V7</f>
        <v>164.275873015873</v>
      </c>
      <c r="X7" s="111" t="n">
        <f aca="false">W7/E7</f>
        <v>41.0689682539683</v>
      </c>
      <c r="Y7" s="111" t="n">
        <f aca="false">$Y$2</f>
        <v>2</v>
      </c>
      <c r="Z7" s="111" t="n">
        <f aca="false">X7+Y7</f>
        <v>43.0689682539683</v>
      </c>
      <c r="AA7" s="111" t="n">
        <f aca="false">$AA$2</f>
        <v>81</v>
      </c>
      <c r="AB7" s="120" t="n">
        <f aca="false">Z7/AA7</f>
        <v>0.531715657456398</v>
      </c>
      <c r="AC7" s="121" t="n">
        <f aca="false">AB7*F7</f>
        <v>1063.4313149128</v>
      </c>
      <c r="AD7" s="111" t="n">
        <f aca="false">U7*G7</f>
        <v>3901.42857142857</v>
      </c>
      <c r="AE7" s="122"/>
      <c r="AF7" s="117" t="n">
        <f aca="false">F7*Q7</f>
        <v>37514.2857142857</v>
      </c>
      <c r="AG7" s="117" t="n">
        <f aca="false">U7*G7</f>
        <v>3901.42857142857</v>
      </c>
      <c r="AH7" s="123" t="n">
        <f aca="false">G7*R7</f>
        <v>1500</v>
      </c>
      <c r="AI7" s="123" t="n">
        <f aca="false">Y7*F7</f>
        <v>4000</v>
      </c>
      <c r="AJ7" s="117" t="n">
        <f aca="false">V7*G7</f>
        <v>39222.2222222222</v>
      </c>
      <c r="AK7" s="117" t="n">
        <f aca="false">SUM(AF7:AJ7)</f>
        <v>86137.9365079365</v>
      </c>
      <c r="AL7" s="102" t="n">
        <v>6</v>
      </c>
      <c r="AM7" s="103" t="s">
        <v>104</v>
      </c>
      <c r="AN7" s="104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05"/>
      <c r="EL7" s="105"/>
      <c r="EM7" s="105"/>
      <c r="EN7" s="105"/>
      <c r="EO7" s="105"/>
      <c r="EP7" s="105"/>
      <c r="EQ7" s="105"/>
      <c r="ER7" s="105"/>
      <c r="ES7" s="105"/>
      <c r="ET7" s="105"/>
      <c r="EU7" s="105"/>
      <c r="EV7" s="105"/>
      <c r="EW7" s="105"/>
      <c r="EX7" s="105"/>
      <c r="EY7" s="105"/>
      <c r="EZ7" s="105"/>
      <c r="FA7" s="105"/>
      <c r="FB7" s="105"/>
      <c r="FC7" s="105"/>
      <c r="FD7" s="105"/>
      <c r="FE7" s="105"/>
      <c r="FF7" s="105"/>
      <c r="FG7" s="105"/>
      <c r="FH7" s="105"/>
      <c r="FI7" s="105"/>
      <c r="FJ7" s="105"/>
      <c r="FK7" s="105"/>
      <c r="FL7" s="105"/>
      <c r="FM7" s="105"/>
      <c r="FN7" s="105"/>
      <c r="FO7" s="105"/>
      <c r="FP7" s="105"/>
      <c r="FQ7" s="105"/>
      <c r="FR7" s="105"/>
      <c r="FS7" s="105"/>
      <c r="FT7" s="105"/>
      <c r="FU7" s="105"/>
      <c r="FV7" s="105"/>
      <c r="FW7" s="105"/>
      <c r="FX7" s="105"/>
      <c r="FY7" s="105"/>
      <c r="FZ7" s="105"/>
      <c r="GA7" s="105"/>
      <c r="GB7" s="105"/>
      <c r="GC7" s="105"/>
      <c r="GD7" s="105"/>
      <c r="GE7" s="105"/>
      <c r="GF7" s="105"/>
      <c r="GG7" s="105"/>
      <c r="GH7" s="105"/>
      <c r="GI7" s="105"/>
      <c r="GJ7" s="105"/>
      <c r="GK7" s="105"/>
      <c r="GL7" s="105"/>
      <c r="GM7" s="105"/>
      <c r="GN7" s="105"/>
      <c r="GO7" s="105"/>
      <c r="GP7" s="105"/>
      <c r="GQ7" s="105"/>
      <c r="GR7" s="105"/>
      <c r="GS7" s="105"/>
      <c r="GT7" s="105"/>
      <c r="GU7" s="105"/>
      <c r="GV7" s="105"/>
      <c r="GW7" s="105"/>
      <c r="GX7" s="105"/>
      <c r="GY7" s="105"/>
      <c r="GZ7" s="105"/>
      <c r="HA7" s="105"/>
      <c r="HB7" s="105"/>
      <c r="HC7" s="105"/>
      <c r="HD7" s="105"/>
      <c r="HE7" s="105"/>
      <c r="HF7" s="105"/>
      <c r="HG7" s="105"/>
      <c r="HH7" s="105"/>
      <c r="HI7" s="105"/>
      <c r="HJ7" s="105"/>
      <c r="HK7" s="105"/>
      <c r="HL7" s="105"/>
      <c r="AMG7" s="106"/>
      <c r="AMH7" s="106"/>
      <c r="AMI7" s="1"/>
      <c r="AMJ7" s="1"/>
    </row>
    <row r="8" s="100" customFormat="true" ht="52.5" hidden="false" customHeight="true" outlineLevel="0" collapsed="false">
      <c r="A8" s="88"/>
      <c r="B8" s="124"/>
      <c r="C8" s="125"/>
      <c r="D8" s="126"/>
      <c r="E8" s="127"/>
      <c r="F8" s="119" t="n">
        <f aca="false">SUM(F3:F7)</f>
        <v>11000</v>
      </c>
      <c r="G8" s="128" t="n">
        <f aca="false">SUM(G3:G7)</f>
        <v>4500</v>
      </c>
      <c r="H8" s="119"/>
      <c r="I8" s="129"/>
      <c r="J8" s="130" t="n">
        <f aca="false">SUM(J3:J7)</f>
        <v>23.2667540792541</v>
      </c>
      <c r="K8" s="131" t="n">
        <f aca="false">SUM(K3:K7)</f>
        <v>60</v>
      </c>
      <c r="L8" s="132" t="n">
        <f aca="false">SUM(L3:L7)</f>
        <v>4560</v>
      </c>
      <c r="M8" s="111"/>
      <c r="N8" s="115"/>
      <c r="O8" s="111"/>
      <c r="P8" s="111"/>
      <c r="Q8" s="111"/>
      <c r="R8" s="111"/>
      <c r="S8" s="111"/>
      <c r="T8" s="118"/>
      <c r="U8" s="111"/>
      <c r="V8" s="111"/>
      <c r="W8" s="111"/>
      <c r="X8" s="111"/>
      <c r="Y8" s="111"/>
      <c r="Z8" s="111"/>
      <c r="AA8" s="111"/>
      <c r="AB8" s="133"/>
      <c r="AC8" s="134" t="n">
        <f aca="false">SUM(AC3:AC7)</f>
        <v>13677.5726043504</v>
      </c>
      <c r="AD8" s="130" t="n">
        <f aca="false">SUM(AD3:AD7)</f>
        <v>66625.7619047619</v>
      </c>
      <c r="AE8" s="122"/>
      <c r="AF8" s="135" t="n">
        <f aca="false">SUM(AF3:AF7)</f>
        <v>644057.619047619</v>
      </c>
      <c r="AG8" s="130" t="n">
        <f aca="false">SUM(AG3:AG7)</f>
        <v>66625.7619047619</v>
      </c>
      <c r="AH8" s="135" t="n">
        <f aca="false">SUM(AH3:AH7)</f>
        <v>22200</v>
      </c>
      <c r="AI8" s="135" t="n">
        <f aca="false">SUM(AI3:AI7)</f>
        <v>22000</v>
      </c>
      <c r="AJ8" s="136" t="n">
        <f aca="false">SUM(AJ3:AJ7)</f>
        <v>353000</v>
      </c>
      <c r="AK8" s="135" t="n">
        <f aca="false">SUM(AK3:AK7)</f>
        <v>1107883.38095238</v>
      </c>
      <c r="AL8" s="102" t="n">
        <v>7</v>
      </c>
      <c r="AM8" s="103" t="s">
        <v>20</v>
      </c>
      <c r="AN8" s="104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5"/>
      <c r="EO8" s="105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105"/>
      <c r="FD8" s="105"/>
      <c r="FE8" s="105"/>
      <c r="FF8" s="105"/>
      <c r="FG8" s="105"/>
      <c r="FH8" s="105"/>
      <c r="FI8" s="105"/>
      <c r="FJ8" s="105"/>
      <c r="FK8" s="105"/>
      <c r="FL8" s="105"/>
      <c r="FM8" s="105"/>
      <c r="FN8" s="105"/>
      <c r="FO8" s="105"/>
      <c r="FP8" s="105"/>
      <c r="FQ8" s="105"/>
      <c r="FR8" s="105"/>
      <c r="FS8" s="105"/>
      <c r="FT8" s="105"/>
      <c r="FU8" s="105"/>
      <c r="FV8" s="105"/>
      <c r="FW8" s="105"/>
      <c r="FX8" s="105"/>
      <c r="FY8" s="105"/>
      <c r="FZ8" s="105"/>
      <c r="GA8" s="105"/>
      <c r="GB8" s="105"/>
      <c r="GC8" s="105"/>
      <c r="GD8" s="105"/>
      <c r="GE8" s="105"/>
      <c r="GF8" s="105"/>
      <c r="GG8" s="105"/>
      <c r="GH8" s="105"/>
      <c r="GI8" s="105"/>
      <c r="GJ8" s="105"/>
      <c r="GK8" s="105"/>
      <c r="GL8" s="105"/>
      <c r="GM8" s="105"/>
      <c r="GN8" s="105"/>
      <c r="GO8" s="105"/>
      <c r="GP8" s="105"/>
      <c r="GQ8" s="105"/>
      <c r="GR8" s="105"/>
      <c r="GS8" s="105"/>
      <c r="GT8" s="105"/>
      <c r="GU8" s="105"/>
      <c r="GV8" s="105"/>
      <c r="GW8" s="105"/>
      <c r="GX8" s="105"/>
      <c r="GY8" s="105"/>
      <c r="GZ8" s="105"/>
      <c r="HA8" s="105"/>
      <c r="HB8" s="105"/>
      <c r="HC8" s="105"/>
      <c r="HD8" s="105"/>
      <c r="HE8" s="105"/>
      <c r="HF8" s="105"/>
      <c r="HG8" s="105"/>
      <c r="HH8" s="105"/>
      <c r="HI8" s="105"/>
      <c r="HJ8" s="105"/>
      <c r="HK8" s="105"/>
      <c r="HL8" s="105"/>
      <c r="AMG8" s="106"/>
      <c r="AMH8" s="106"/>
      <c r="AMI8" s="1"/>
      <c r="AMJ8" s="1"/>
    </row>
    <row r="9" s="106" customFormat="true" ht="52.5" hidden="false" customHeight="true" outlineLevel="0" collapsed="false">
      <c r="A9" s="88"/>
      <c r="B9" s="137"/>
      <c r="C9" s="125"/>
      <c r="D9" s="138"/>
      <c r="E9" s="139"/>
      <c r="F9" s="140"/>
      <c r="G9" s="141"/>
      <c r="H9" s="141"/>
      <c r="I9" s="142"/>
      <c r="J9" s="142"/>
      <c r="K9" s="140"/>
      <c r="L9" s="140"/>
      <c r="M9" s="140"/>
      <c r="N9" s="115"/>
      <c r="O9" s="140"/>
      <c r="P9" s="140"/>
      <c r="Q9" s="140"/>
      <c r="R9" s="140"/>
      <c r="S9" s="140"/>
      <c r="T9" s="143"/>
      <c r="U9" s="140"/>
      <c r="V9" s="140"/>
      <c r="W9" s="140"/>
      <c r="X9" s="140"/>
      <c r="Y9" s="140"/>
      <c r="Z9" s="140"/>
      <c r="AA9" s="140"/>
      <c r="AB9" s="144"/>
      <c r="AC9" s="140"/>
      <c r="AD9" s="145"/>
      <c r="AE9" s="145"/>
      <c r="AF9" s="146"/>
      <c r="AG9" s="146"/>
      <c r="AH9" s="147"/>
      <c r="AI9" s="147"/>
      <c r="AJ9" s="146"/>
      <c r="AK9" s="146" t="n">
        <f aca="false">SUM(AF8:AJ8)</f>
        <v>1107883.38095238</v>
      </c>
      <c r="AL9" s="102" t="n">
        <v>8</v>
      </c>
      <c r="AM9" s="103" t="s">
        <v>105</v>
      </c>
      <c r="AN9" s="104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8"/>
      <c r="EC9" s="148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8"/>
      <c r="ER9" s="148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8"/>
      <c r="FG9" s="148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8"/>
      <c r="FV9" s="148"/>
      <c r="FW9" s="148"/>
      <c r="FX9" s="148"/>
      <c r="FY9" s="148"/>
      <c r="FZ9" s="148"/>
      <c r="GA9" s="148"/>
      <c r="GB9" s="148"/>
      <c r="GC9" s="148"/>
      <c r="GD9" s="148"/>
      <c r="GE9" s="148"/>
      <c r="GF9" s="148"/>
      <c r="GG9" s="148"/>
      <c r="GH9" s="148"/>
      <c r="GI9" s="148"/>
      <c r="GJ9" s="148"/>
      <c r="GK9" s="148"/>
      <c r="GL9" s="148"/>
      <c r="GM9" s="148"/>
      <c r="GN9" s="148"/>
      <c r="GO9" s="148"/>
      <c r="GP9" s="148"/>
      <c r="GQ9" s="148"/>
      <c r="GR9" s="148"/>
      <c r="GS9" s="148"/>
      <c r="GT9" s="148"/>
      <c r="GU9" s="148"/>
      <c r="GV9" s="148"/>
      <c r="GW9" s="148"/>
      <c r="GX9" s="148"/>
      <c r="GY9" s="148"/>
      <c r="GZ9" s="148"/>
      <c r="HA9" s="148"/>
      <c r="HB9" s="148"/>
      <c r="HC9" s="148"/>
      <c r="HD9" s="148"/>
      <c r="HE9" s="148"/>
      <c r="HF9" s="148"/>
      <c r="HG9" s="148"/>
      <c r="HH9" s="148"/>
      <c r="HI9" s="148"/>
      <c r="HJ9" s="148"/>
      <c r="HK9" s="148"/>
      <c r="HL9" s="148"/>
      <c r="AMI9" s="1"/>
      <c r="AMJ9" s="1"/>
    </row>
    <row r="10" s="106" customFormat="true" ht="52.5" hidden="false" customHeight="true" outlineLevel="0" collapsed="false">
      <c r="A10" s="88"/>
      <c r="B10" s="149" t="s">
        <v>106</v>
      </c>
      <c r="C10" s="150" t="s">
        <v>107</v>
      </c>
      <c r="D10" s="150" t="s">
        <v>108</v>
      </c>
      <c r="E10" s="151"/>
      <c r="F10" s="152"/>
      <c r="G10" s="153"/>
      <c r="H10" s="153"/>
      <c r="I10" s="154"/>
      <c r="J10" s="154"/>
      <c r="K10" s="152"/>
      <c r="L10" s="152"/>
      <c r="M10" s="152"/>
      <c r="N10" s="155"/>
      <c r="O10" s="152"/>
      <c r="P10" s="152"/>
      <c r="Q10" s="152"/>
      <c r="R10" s="152"/>
      <c r="S10" s="152"/>
      <c r="T10" s="156"/>
      <c r="U10" s="152"/>
      <c r="V10" s="152"/>
      <c r="W10" s="152"/>
      <c r="X10" s="152"/>
      <c r="Y10" s="152"/>
      <c r="Z10" s="152"/>
      <c r="AA10" s="152"/>
      <c r="AB10" s="157"/>
      <c r="AC10" s="152"/>
      <c r="AF10" s="158"/>
      <c r="AG10" s="158"/>
      <c r="AH10" s="137"/>
      <c r="AI10" s="137"/>
      <c r="AJ10" s="158"/>
      <c r="AK10" s="158"/>
      <c r="AL10" s="102" t="n">
        <v>9</v>
      </c>
      <c r="AM10" s="103" t="s">
        <v>109</v>
      </c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8"/>
      <c r="ER10" s="148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8"/>
      <c r="FG10" s="148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8"/>
      <c r="FV10" s="148"/>
      <c r="FW10" s="148"/>
      <c r="FX10" s="148"/>
      <c r="FY10" s="148"/>
      <c r="FZ10" s="148"/>
      <c r="GA10" s="148"/>
      <c r="GB10" s="148"/>
      <c r="GC10" s="148"/>
      <c r="GD10" s="148"/>
      <c r="GE10" s="148"/>
      <c r="GF10" s="148"/>
      <c r="GG10" s="148"/>
      <c r="GH10" s="148"/>
      <c r="GI10" s="148"/>
      <c r="GJ10" s="148"/>
      <c r="GK10" s="148"/>
      <c r="GL10" s="148"/>
      <c r="GM10" s="148"/>
      <c r="GN10" s="148"/>
      <c r="GO10" s="148"/>
      <c r="GP10" s="148"/>
      <c r="GQ10" s="148"/>
      <c r="GR10" s="148"/>
      <c r="GS10" s="148"/>
      <c r="GT10" s="148"/>
      <c r="GU10" s="148"/>
      <c r="GV10" s="148"/>
      <c r="GW10" s="148"/>
      <c r="GX10" s="148"/>
      <c r="GY10" s="148"/>
      <c r="GZ10" s="148"/>
      <c r="HA10" s="148"/>
      <c r="HB10" s="148"/>
      <c r="HC10" s="148"/>
      <c r="HD10" s="148"/>
      <c r="HE10" s="148"/>
      <c r="HF10" s="148"/>
      <c r="HG10" s="148"/>
      <c r="HH10" s="148"/>
      <c r="HI10" s="148"/>
      <c r="HJ10" s="148"/>
      <c r="HK10" s="148"/>
      <c r="HL10" s="148"/>
      <c r="AMI10" s="1"/>
      <c r="AMJ10" s="1"/>
    </row>
    <row r="11" s="106" customFormat="true" ht="52.5" hidden="false" customHeight="true" outlineLevel="0" collapsed="false">
      <c r="A11" s="88"/>
      <c r="B11" s="149" t="n">
        <v>1</v>
      </c>
      <c r="C11" s="159" t="s">
        <v>110</v>
      </c>
      <c r="D11" s="160" t="n">
        <f aca="false">4000+2000</f>
        <v>6000</v>
      </c>
      <c r="E11" s="151"/>
      <c r="F11" s="152"/>
      <c r="G11" s="153"/>
      <c r="H11" s="153"/>
      <c r="I11" s="154"/>
      <c r="J11" s="154"/>
      <c r="K11" s="152"/>
      <c r="L11" s="152"/>
      <c r="M11" s="152"/>
      <c r="N11" s="155"/>
      <c r="O11" s="152"/>
      <c r="P11" s="152"/>
      <c r="Q11" s="152"/>
      <c r="R11" s="152"/>
      <c r="S11" s="152"/>
      <c r="T11" s="156"/>
      <c r="U11" s="152"/>
      <c r="V11" s="152"/>
      <c r="W11" s="152"/>
      <c r="X11" s="152"/>
      <c r="Y11" s="152"/>
      <c r="Z11" s="152"/>
      <c r="AA11" s="152"/>
      <c r="AB11" s="157"/>
      <c r="AC11" s="152"/>
      <c r="AF11" s="158"/>
      <c r="AG11" s="158"/>
      <c r="AH11" s="137"/>
      <c r="AI11" s="137"/>
      <c r="AJ11" s="158"/>
      <c r="AK11" s="15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8"/>
      <c r="EL11" s="148"/>
      <c r="EM11" s="148"/>
      <c r="EN11" s="148"/>
      <c r="EO11" s="148"/>
      <c r="EP11" s="148"/>
      <c r="EQ11" s="148"/>
      <c r="ER11" s="148"/>
      <c r="ES11" s="148"/>
      <c r="ET11" s="148"/>
      <c r="EU11" s="148"/>
      <c r="EV11" s="148"/>
      <c r="EW11" s="148"/>
      <c r="EX11" s="148"/>
      <c r="EY11" s="148"/>
      <c r="EZ11" s="148"/>
      <c r="FA11" s="148"/>
      <c r="FB11" s="148"/>
      <c r="FC11" s="148"/>
      <c r="FD11" s="148"/>
      <c r="FE11" s="148"/>
      <c r="FF11" s="148"/>
      <c r="FG11" s="148"/>
      <c r="FH11" s="148"/>
      <c r="FI11" s="148"/>
      <c r="FJ11" s="148"/>
      <c r="FK11" s="148"/>
      <c r="FL11" s="148"/>
      <c r="FM11" s="148"/>
      <c r="FN11" s="148"/>
      <c r="FO11" s="148"/>
      <c r="FP11" s="148"/>
      <c r="FQ11" s="148"/>
      <c r="FR11" s="148"/>
      <c r="FS11" s="148"/>
      <c r="FT11" s="148"/>
      <c r="FU11" s="148"/>
      <c r="FV11" s="148"/>
      <c r="FW11" s="148"/>
      <c r="FX11" s="148"/>
      <c r="FY11" s="148"/>
      <c r="FZ11" s="148"/>
      <c r="GA11" s="148"/>
      <c r="GB11" s="148"/>
      <c r="GC11" s="148"/>
      <c r="GD11" s="148"/>
      <c r="GE11" s="148"/>
      <c r="GF11" s="148"/>
      <c r="GG11" s="148"/>
      <c r="GH11" s="148"/>
      <c r="GI11" s="148"/>
      <c r="GJ11" s="148"/>
      <c r="GK11" s="148"/>
      <c r="GL11" s="148"/>
      <c r="GM11" s="148"/>
      <c r="GN11" s="148"/>
      <c r="GO11" s="148"/>
      <c r="GP11" s="148"/>
      <c r="GQ11" s="148"/>
      <c r="GR11" s="148"/>
      <c r="GS11" s="148"/>
      <c r="GT11" s="148"/>
      <c r="GU11" s="148"/>
      <c r="GV11" s="148"/>
      <c r="GW11" s="148"/>
      <c r="GX11" s="148"/>
      <c r="GY11" s="148"/>
      <c r="GZ11" s="148"/>
      <c r="HA11" s="148"/>
      <c r="HB11" s="148"/>
      <c r="HC11" s="148"/>
      <c r="HD11" s="148"/>
      <c r="HE11" s="148"/>
      <c r="HF11" s="148"/>
      <c r="HG11" s="148"/>
      <c r="HH11" s="148"/>
      <c r="HI11" s="148"/>
      <c r="HJ11" s="148"/>
      <c r="HK11" s="148"/>
      <c r="HL11" s="148"/>
      <c r="AMI11" s="1"/>
      <c r="AMJ11" s="1"/>
    </row>
    <row r="12" s="106" customFormat="true" ht="52.5" hidden="false" customHeight="true" outlineLevel="0" collapsed="false">
      <c r="A12" s="88"/>
      <c r="B12" s="149" t="n">
        <v>2</v>
      </c>
      <c r="C12" s="159" t="s">
        <v>111</v>
      </c>
      <c r="D12" s="160" t="n">
        <v>4000</v>
      </c>
      <c r="E12" s="151"/>
      <c r="F12" s="152"/>
      <c r="G12" s="153"/>
      <c r="H12" s="153"/>
      <c r="I12" s="154"/>
      <c r="J12" s="154"/>
      <c r="K12" s="152"/>
      <c r="L12" s="152"/>
      <c r="M12" s="152"/>
      <c r="N12" s="155"/>
      <c r="O12" s="152"/>
      <c r="P12" s="152"/>
      <c r="Q12" s="152"/>
      <c r="R12" s="152"/>
      <c r="S12" s="152"/>
      <c r="T12" s="156"/>
      <c r="U12" s="152"/>
      <c r="V12" s="152"/>
      <c r="W12" s="152"/>
      <c r="X12" s="152"/>
      <c r="Y12" s="152"/>
      <c r="Z12" s="152"/>
      <c r="AA12" s="152"/>
      <c r="AB12" s="157"/>
      <c r="AC12" s="152"/>
      <c r="AF12" s="158"/>
      <c r="AG12" s="158"/>
      <c r="AH12" s="137"/>
      <c r="AI12" s="137"/>
      <c r="AJ12" s="158"/>
      <c r="AK12" s="15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8"/>
      <c r="FG12" s="148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8"/>
      <c r="GW12" s="148"/>
      <c r="GX12" s="148"/>
      <c r="GY12" s="148"/>
      <c r="GZ12" s="148"/>
      <c r="HA12" s="148"/>
      <c r="HB12" s="148"/>
      <c r="HC12" s="148"/>
      <c r="HD12" s="148"/>
      <c r="HE12" s="148"/>
      <c r="HF12" s="148"/>
      <c r="HG12" s="148"/>
      <c r="HH12" s="148"/>
      <c r="HI12" s="148"/>
      <c r="HJ12" s="148"/>
      <c r="HK12" s="148"/>
      <c r="HL12" s="148"/>
      <c r="AMI12" s="1"/>
      <c r="AMJ12" s="1"/>
    </row>
    <row r="13" s="106" customFormat="true" ht="52.5" hidden="false" customHeight="true" outlineLevel="0" collapsed="false">
      <c r="A13" s="88"/>
      <c r="B13" s="149" t="n">
        <v>3</v>
      </c>
      <c r="C13" s="159" t="s">
        <v>112</v>
      </c>
      <c r="D13" s="160" t="n">
        <v>50000</v>
      </c>
      <c r="E13" s="151"/>
      <c r="F13" s="152"/>
      <c r="G13" s="153"/>
      <c r="H13" s="153"/>
      <c r="I13" s="154"/>
      <c r="J13" s="154"/>
      <c r="K13" s="152"/>
      <c r="L13" s="152"/>
      <c r="M13" s="152"/>
      <c r="N13" s="155"/>
      <c r="O13" s="152"/>
      <c r="P13" s="152"/>
      <c r="Q13" s="152"/>
      <c r="R13" s="152"/>
      <c r="S13" s="152"/>
      <c r="T13" s="156"/>
      <c r="U13" s="152"/>
      <c r="V13" s="152"/>
      <c r="W13" s="152"/>
      <c r="X13" s="152"/>
      <c r="Y13" s="152"/>
      <c r="Z13" s="152"/>
      <c r="AA13" s="152"/>
      <c r="AB13" s="157"/>
      <c r="AC13" s="152"/>
      <c r="AF13" s="158"/>
      <c r="AG13" s="158"/>
      <c r="AH13" s="137"/>
      <c r="AI13" s="137"/>
      <c r="AJ13" s="158"/>
      <c r="AK13" s="15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8"/>
      <c r="ER13" s="148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8"/>
      <c r="FG13" s="148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8"/>
      <c r="FV13" s="148"/>
      <c r="FW13" s="148"/>
      <c r="FX13" s="148"/>
      <c r="FY13" s="148"/>
      <c r="FZ13" s="148"/>
      <c r="GA13" s="148"/>
      <c r="GB13" s="148"/>
      <c r="GC13" s="148"/>
      <c r="GD13" s="148"/>
      <c r="GE13" s="148"/>
      <c r="GF13" s="148"/>
      <c r="GG13" s="148"/>
      <c r="GH13" s="148"/>
      <c r="GI13" s="148"/>
      <c r="GJ13" s="148"/>
      <c r="GK13" s="148"/>
      <c r="GL13" s="148"/>
      <c r="GM13" s="148"/>
      <c r="GN13" s="148"/>
      <c r="GO13" s="148"/>
      <c r="GP13" s="148"/>
      <c r="GQ13" s="148"/>
      <c r="GR13" s="148"/>
      <c r="GS13" s="148"/>
      <c r="GT13" s="148"/>
      <c r="GU13" s="148"/>
      <c r="GV13" s="148"/>
      <c r="GW13" s="148"/>
      <c r="GX13" s="148"/>
      <c r="GY13" s="148"/>
      <c r="GZ13" s="148"/>
      <c r="HA13" s="148"/>
      <c r="HB13" s="148"/>
      <c r="HC13" s="148"/>
      <c r="HD13" s="148"/>
      <c r="HE13" s="148"/>
      <c r="HF13" s="148"/>
      <c r="HG13" s="148"/>
      <c r="HH13" s="148"/>
      <c r="HI13" s="148"/>
      <c r="HJ13" s="148"/>
      <c r="HK13" s="148"/>
      <c r="HL13" s="148"/>
      <c r="AMI13" s="1"/>
      <c r="AMJ13" s="1"/>
    </row>
    <row r="14" s="106" customFormat="true" ht="52.5" hidden="false" customHeight="true" outlineLevel="0" collapsed="false">
      <c r="A14" s="88"/>
      <c r="B14" s="149" t="n">
        <v>4</v>
      </c>
      <c r="C14" s="161" t="s">
        <v>113</v>
      </c>
      <c r="D14" s="160" t="n">
        <v>10000</v>
      </c>
      <c r="E14" s="162" t="s">
        <v>114</v>
      </c>
      <c r="F14" s="163" t="s">
        <v>115</v>
      </c>
      <c r="G14" s="164" t="s">
        <v>116</v>
      </c>
      <c r="H14" s="165"/>
      <c r="I14" s="166" t="s">
        <v>117</v>
      </c>
      <c r="J14" s="154"/>
      <c r="K14" s="152"/>
      <c r="L14" s="152"/>
      <c r="M14" s="152"/>
      <c r="N14" s="155"/>
      <c r="O14" s="152"/>
      <c r="P14" s="152"/>
      <c r="Q14" s="152"/>
      <c r="R14" s="152"/>
      <c r="S14" s="152"/>
      <c r="T14" s="156"/>
      <c r="U14" s="152"/>
      <c r="V14" s="152"/>
      <c r="W14" s="152"/>
      <c r="X14" s="152"/>
      <c r="Y14" s="152"/>
      <c r="Z14" s="152"/>
      <c r="AA14" s="152"/>
      <c r="AB14" s="157"/>
      <c r="AC14" s="152"/>
      <c r="AF14" s="158"/>
      <c r="AG14" s="158"/>
      <c r="AH14" s="137"/>
      <c r="AI14" s="137"/>
      <c r="AJ14" s="158"/>
      <c r="AK14" s="15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8"/>
      <c r="EC14" s="148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8"/>
      <c r="ER14" s="148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8"/>
      <c r="FG14" s="148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8"/>
      <c r="FV14" s="148"/>
      <c r="FW14" s="148"/>
      <c r="FX14" s="148"/>
      <c r="FY14" s="148"/>
      <c r="FZ14" s="148"/>
      <c r="GA14" s="148"/>
      <c r="GB14" s="148"/>
      <c r="GC14" s="148"/>
      <c r="GD14" s="148"/>
      <c r="GE14" s="148"/>
      <c r="GF14" s="148"/>
      <c r="GG14" s="148"/>
      <c r="GH14" s="148"/>
      <c r="GI14" s="148"/>
      <c r="GJ14" s="148"/>
      <c r="GK14" s="148"/>
      <c r="GL14" s="148"/>
      <c r="GM14" s="148"/>
      <c r="GN14" s="148"/>
      <c r="GO14" s="148"/>
      <c r="GP14" s="148"/>
      <c r="GQ14" s="148"/>
      <c r="GR14" s="148"/>
      <c r="GS14" s="148"/>
      <c r="GT14" s="148"/>
      <c r="GU14" s="148"/>
      <c r="GV14" s="148"/>
      <c r="GW14" s="148"/>
      <c r="GX14" s="148"/>
      <c r="GY14" s="148"/>
      <c r="GZ14" s="148"/>
      <c r="HA14" s="148"/>
      <c r="HB14" s="148"/>
      <c r="HC14" s="148"/>
      <c r="HD14" s="148"/>
      <c r="HE14" s="148"/>
      <c r="HF14" s="148"/>
      <c r="HG14" s="148"/>
      <c r="HH14" s="148"/>
      <c r="HI14" s="148"/>
      <c r="HJ14" s="148"/>
      <c r="HK14" s="148"/>
      <c r="HL14" s="148"/>
      <c r="AMI14" s="1"/>
      <c r="AMJ14" s="1"/>
    </row>
    <row r="15" s="106" customFormat="true" ht="52.5" hidden="false" customHeight="true" outlineLevel="0" collapsed="false">
      <c r="A15" s="88"/>
      <c r="B15" s="149" t="n">
        <v>5</v>
      </c>
      <c r="C15" s="159" t="s">
        <v>118</v>
      </c>
      <c r="D15" s="167" t="n">
        <f aca="false">I15</f>
        <v>273000</v>
      </c>
      <c r="E15" s="168" t="n">
        <v>3000</v>
      </c>
      <c r="F15" s="163" t="n">
        <f aca="false">E15*78</f>
        <v>234000</v>
      </c>
      <c r="G15" s="169" t="n">
        <v>500</v>
      </c>
      <c r="H15" s="165" t="n">
        <f aca="false">E15+G15</f>
        <v>3500</v>
      </c>
      <c r="I15" s="170" t="n">
        <f aca="false">H15*78</f>
        <v>273000</v>
      </c>
      <c r="J15" s="154"/>
      <c r="K15" s="152"/>
      <c r="L15" s="152"/>
      <c r="M15" s="152"/>
      <c r="N15" s="155"/>
      <c r="O15" s="152"/>
      <c r="P15" s="152"/>
      <c r="Q15" s="152"/>
      <c r="R15" s="152"/>
      <c r="S15" s="152"/>
      <c r="T15" s="156"/>
      <c r="U15" s="152"/>
      <c r="V15" s="152"/>
      <c r="W15" s="152"/>
      <c r="X15" s="152"/>
      <c r="Y15" s="152"/>
      <c r="Z15" s="152"/>
      <c r="AA15" s="152"/>
      <c r="AB15" s="157"/>
      <c r="AC15" s="152"/>
      <c r="AF15" s="158"/>
      <c r="AG15" s="158"/>
      <c r="AH15" s="137"/>
      <c r="AI15" s="137"/>
      <c r="AJ15" s="158"/>
      <c r="AK15" s="15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8"/>
      <c r="EC15" s="148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8"/>
      <c r="ER15" s="148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148"/>
      <c r="FE15" s="148"/>
      <c r="FF15" s="148"/>
      <c r="FG15" s="148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8"/>
      <c r="FV15" s="148"/>
      <c r="FW15" s="148"/>
      <c r="FX15" s="148"/>
      <c r="FY15" s="148"/>
      <c r="FZ15" s="148"/>
      <c r="GA15" s="148"/>
      <c r="GB15" s="148"/>
      <c r="GC15" s="148"/>
      <c r="GD15" s="148"/>
      <c r="GE15" s="148"/>
      <c r="GF15" s="148"/>
      <c r="GG15" s="148"/>
      <c r="GH15" s="148"/>
      <c r="GI15" s="148"/>
      <c r="GJ15" s="148"/>
      <c r="GK15" s="148"/>
      <c r="GL15" s="148"/>
      <c r="GM15" s="148"/>
      <c r="GN15" s="148"/>
      <c r="GO15" s="148"/>
      <c r="GP15" s="148"/>
      <c r="GQ15" s="148"/>
      <c r="GR15" s="148"/>
      <c r="GS15" s="148"/>
      <c r="GT15" s="148"/>
      <c r="GU15" s="148"/>
      <c r="GV15" s="148"/>
      <c r="GW15" s="148"/>
      <c r="GX15" s="148"/>
      <c r="GY15" s="148"/>
      <c r="GZ15" s="148"/>
      <c r="HA15" s="148"/>
      <c r="HB15" s="148"/>
      <c r="HC15" s="148"/>
      <c r="HD15" s="148"/>
      <c r="HE15" s="148"/>
      <c r="HF15" s="148"/>
      <c r="HG15" s="148"/>
      <c r="HH15" s="148"/>
      <c r="HI15" s="148"/>
      <c r="HJ15" s="148"/>
      <c r="HK15" s="148"/>
      <c r="HL15" s="148"/>
      <c r="AMI15" s="1"/>
      <c r="AMJ15" s="1"/>
    </row>
    <row r="16" s="106" customFormat="true" ht="52.5" hidden="false" customHeight="true" outlineLevel="0" collapsed="false">
      <c r="A16" s="88"/>
      <c r="B16" s="149" t="n">
        <v>6</v>
      </c>
      <c r="C16" s="159" t="s">
        <v>119</v>
      </c>
      <c r="D16" s="160" t="n">
        <v>5000</v>
      </c>
      <c r="G16" s="153"/>
      <c r="H16" s="153"/>
      <c r="I16" s="154"/>
      <c r="J16" s="154"/>
      <c r="K16" s="152"/>
      <c r="L16" s="152"/>
      <c r="M16" s="152"/>
      <c r="N16" s="155"/>
      <c r="O16" s="152"/>
      <c r="P16" s="152"/>
      <c r="Q16" s="152"/>
      <c r="R16" s="152"/>
      <c r="S16" s="152"/>
      <c r="T16" s="156"/>
      <c r="U16" s="152"/>
      <c r="V16" s="152"/>
      <c r="W16" s="152"/>
      <c r="X16" s="152"/>
      <c r="Y16" s="152"/>
      <c r="Z16" s="152"/>
      <c r="AA16" s="152"/>
      <c r="AB16" s="157"/>
      <c r="AC16" s="152"/>
      <c r="AF16" s="158"/>
      <c r="AG16" s="158"/>
      <c r="AH16" s="137"/>
      <c r="AI16" s="137"/>
      <c r="AJ16" s="158"/>
      <c r="AK16" s="15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8"/>
      <c r="FG16" s="148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148"/>
      <c r="GC16" s="148"/>
      <c r="GD16" s="148"/>
      <c r="GE16" s="148"/>
      <c r="GF16" s="148"/>
      <c r="GG16" s="148"/>
      <c r="GH16" s="148"/>
      <c r="GI16" s="148"/>
      <c r="GJ16" s="148"/>
      <c r="GK16" s="148"/>
      <c r="GL16" s="148"/>
      <c r="GM16" s="148"/>
      <c r="GN16" s="148"/>
      <c r="GO16" s="148"/>
      <c r="GP16" s="148"/>
      <c r="GQ16" s="148"/>
      <c r="GR16" s="148"/>
      <c r="GS16" s="148"/>
      <c r="GT16" s="148"/>
      <c r="GU16" s="148"/>
      <c r="GV16" s="148"/>
      <c r="GW16" s="148"/>
      <c r="GX16" s="148"/>
      <c r="GY16" s="148"/>
      <c r="GZ16" s="148"/>
      <c r="HA16" s="148"/>
      <c r="HB16" s="148"/>
      <c r="HC16" s="148"/>
      <c r="HD16" s="148"/>
      <c r="HE16" s="148"/>
      <c r="HF16" s="148"/>
      <c r="HG16" s="148"/>
      <c r="HH16" s="148"/>
      <c r="HI16" s="148"/>
      <c r="HJ16" s="148"/>
      <c r="HK16" s="148"/>
      <c r="HL16" s="148"/>
      <c r="AMI16" s="1"/>
      <c r="AMJ16" s="1"/>
    </row>
    <row r="17" s="106" customFormat="true" ht="52.5" hidden="false" customHeight="true" outlineLevel="0" collapsed="false">
      <c r="A17" s="88"/>
      <c r="B17" s="149" t="n">
        <v>7</v>
      </c>
      <c r="C17" s="159" t="s">
        <v>120</v>
      </c>
      <c r="D17" s="160" t="n">
        <v>5000</v>
      </c>
      <c r="G17" s="153"/>
      <c r="H17" s="153"/>
      <c r="I17" s="154"/>
      <c r="J17" s="154"/>
      <c r="K17" s="152"/>
      <c r="L17" s="152"/>
      <c r="M17" s="152"/>
      <c r="N17" s="155"/>
      <c r="O17" s="152"/>
      <c r="P17" s="152"/>
      <c r="Q17" s="152"/>
      <c r="R17" s="152"/>
      <c r="S17" s="152"/>
      <c r="T17" s="156"/>
      <c r="U17" s="152"/>
      <c r="V17" s="152"/>
      <c r="W17" s="152"/>
      <c r="X17" s="152"/>
      <c r="Y17" s="152"/>
      <c r="Z17" s="152"/>
      <c r="AA17" s="152"/>
      <c r="AB17" s="157"/>
      <c r="AC17" s="152"/>
      <c r="AF17" s="158"/>
      <c r="AG17" s="158"/>
      <c r="AH17" s="137"/>
      <c r="AI17" s="137"/>
      <c r="AJ17" s="158"/>
      <c r="AK17" s="15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8"/>
      <c r="ER17" s="148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8"/>
      <c r="FG17" s="148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8"/>
      <c r="FV17" s="148"/>
      <c r="FW17" s="148"/>
      <c r="FX17" s="148"/>
      <c r="FY17" s="148"/>
      <c r="FZ17" s="148"/>
      <c r="GA17" s="148"/>
      <c r="GB17" s="148"/>
      <c r="GC17" s="148"/>
      <c r="GD17" s="148"/>
      <c r="GE17" s="148"/>
      <c r="GF17" s="148"/>
      <c r="GG17" s="148"/>
      <c r="GH17" s="148"/>
      <c r="GI17" s="148"/>
      <c r="GJ17" s="148"/>
      <c r="GK17" s="148"/>
      <c r="GL17" s="148"/>
      <c r="GM17" s="148"/>
      <c r="GN17" s="148"/>
      <c r="GO17" s="148"/>
      <c r="GP17" s="148"/>
      <c r="GQ17" s="148"/>
      <c r="GR17" s="148"/>
      <c r="GS17" s="148"/>
      <c r="GT17" s="148"/>
      <c r="GU17" s="148"/>
      <c r="GV17" s="148"/>
      <c r="GW17" s="148"/>
      <c r="GX17" s="148"/>
      <c r="GY17" s="148"/>
      <c r="GZ17" s="148"/>
      <c r="HA17" s="148"/>
      <c r="HB17" s="148"/>
      <c r="HC17" s="148"/>
      <c r="HD17" s="148"/>
      <c r="HE17" s="148"/>
      <c r="HF17" s="148"/>
      <c r="HG17" s="148"/>
      <c r="HH17" s="148"/>
      <c r="HI17" s="148"/>
      <c r="HJ17" s="148"/>
      <c r="HK17" s="148"/>
      <c r="HL17" s="148"/>
      <c r="AMI17" s="1"/>
      <c r="AMJ17" s="1"/>
    </row>
    <row r="18" s="106" customFormat="true" ht="52.5" hidden="false" customHeight="true" outlineLevel="0" collapsed="false">
      <c r="A18" s="88"/>
      <c r="B18" s="171" t="s">
        <v>121</v>
      </c>
      <c r="C18" s="171"/>
      <c r="D18" s="172" t="n">
        <f aca="false">SUM(D11:D17)</f>
        <v>353000</v>
      </c>
      <c r="E18" s="173" t="n">
        <f aca="false">D18/G8</f>
        <v>78.4444444444444</v>
      </c>
      <c r="F18" s="173"/>
      <c r="G18" s="153"/>
      <c r="H18" s="153"/>
      <c r="I18" s="154"/>
      <c r="J18" s="154"/>
      <c r="K18" s="152"/>
      <c r="L18" s="152"/>
      <c r="M18" s="152"/>
      <c r="N18" s="155"/>
      <c r="O18" s="152"/>
      <c r="P18" s="152"/>
      <c r="Q18" s="152"/>
      <c r="R18" s="152"/>
      <c r="S18" s="152"/>
      <c r="T18" s="156"/>
      <c r="U18" s="152"/>
      <c r="V18" s="152"/>
      <c r="W18" s="152"/>
      <c r="X18" s="152"/>
      <c r="Y18" s="152"/>
      <c r="Z18" s="152"/>
      <c r="AA18" s="152"/>
      <c r="AB18" s="157"/>
      <c r="AC18" s="152"/>
      <c r="AF18" s="158"/>
      <c r="AG18" s="158"/>
      <c r="AH18" s="137"/>
      <c r="AI18" s="137"/>
      <c r="AJ18" s="158"/>
      <c r="AK18" s="15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8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148"/>
      <c r="FG18" s="148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8"/>
      <c r="FV18" s="148"/>
      <c r="FW18" s="148"/>
      <c r="FX18" s="148"/>
      <c r="FY18" s="148"/>
      <c r="FZ18" s="148"/>
      <c r="GA18" s="148"/>
      <c r="GB18" s="148"/>
      <c r="GC18" s="148"/>
      <c r="GD18" s="148"/>
      <c r="GE18" s="148"/>
      <c r="GF18" s="148"/>
      <c r="GG18" s="148"/>
      <c r="GH18" s="148"/>
      <c r="GI18" s="148"/>
      <c r="GJ18" s="148"/>
      <c r="GK18" s="148"/>
      <c r="GL18" s="148"/>
      <c r="GM18" s="148"/>
      <c r="GN18" s="148"/>
      <c r="GO18" s="148"/>
      <c r="GP18" s="148"/>
      <c r="GQ18" s="148"/>
      <c r="GR18" s="148"/>
      <c r="GS18" s="148"/>
      <c r="GT18" s="148"/>
      <c r="GU18" s="148"/>
      <c r="GV18" s="148"/>
      <c r="GW18" s="148"/>
      <c r="GX18" s="148"/>
      <c r="GY18" s="148"/>
      <c r="GZ18" s="148"/>
      <c r="HA18" s="148"/>
      <c r="HB18" s="148"/>
      <c r="HC18" s="148"/>
      <c r="HD18" s="148"/>
      <c r="HE18" s="148"/>
      <c r="HF18" s="148"/>
      <c r="HG18" s="148"/>
      <c r="HH18" s="148"/>
      <c r="HI18" s="148"/>
      <c r="HJ18" s="148"/>
      <c r="HK18" s="148"/>
      <c r="HL18" s="148"/>
      <c r="AMI18" s="1"/>
      <c r="AMJ18" s="1"/>
    </row>
    <row r="19" s="106" customFormat="true" ht="66.45" hidden="false" customHeight="true" outlineLevel="0" collapsed="false">
      <c r="A19" s="174"/>
      <c r="B19" s="175"/>
      <c r="C19" s="176"/>
      <c r="D19" s="175"/>
      <c r="E19" s="177" t="s">
        <v>122</v>
      </c>
      <c r="F19" s="177"/>
      <c r="G19" s="178"/>
      <c r="H19" s="178"/>
      <c r="I19" s="179"/>
      <c r="J19" s="179"/>
      <c r="K19" s="180"/>
      <c r="L19" s="180"/>
      <c r="M19" s="180"/>
      <c r="N19" s="181"/>
      <c r="O19" s="180"/>
      <c r="P19" s="180"/>
      <c r="Q19" s="180"/>
      <c r="R19" s="180"/>
      <c r="S19" s="180"/>
      <c r="T19" s="182"/>
      <c r="U19" s="180"/>
      <c r="V19" s="180"/>
      <c r="W19" s="180"/>
      <c r="X19" s="180"/>
      <c r="Y19" s="180"/>
      <c r="Z19" s="180"/>
      <c r="AA19" s="180"/>
      <c r="AB19" s="183"/>
      <c r="AC19" s="180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8"/>
      <c r="ER19" s="148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8"/>
      <c r="FG19" s="148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8"/>
      <c r="FV19" s="148"/>
      <c r="FW19" s="148"/>
      <c r="FX19" s="148"/>
      <c r="FY19" s="148"/>
      <c r="FZ19" s="148"/>
      <c r="GA19" s="148"/>
      <c r="GB19" s="148"/>
      <c r="GC19" s="148"/>
      <c r="GD19" s="148"/>
      <c r="GE19" s="148"/>
      <c r="GF19" s="148"/>
      <c r="GG19" s="148"/>
      <c r="GH19" s="148"/>
      <c r="GI19" s="148"/>
      <c r="GJ19" s="148"/>
      <c r="GK19" s="148"/>
      <c r="GL19" s="148"/>
      <c r="GM19" s="148"/>
      <c r="GN19" s="148"/>
      <c r="GO19" s="148"/>
      <c r="GP19" s="148"/>
      <c r="GQ19" s="148"/>
      <c r="GR19" s="148"/>
      <c r="GS19" s="148"/>
      <c r="GT19" s="148"/>
      <c r="GU19" s="148"/>
      <c r="GV19" s="148"/>
      <c r="GW19" s="148"/>
      <c r="GX19" s="148"/>
      <c r="GY19" s="148"/>
      <c r="GZ19" s="148"/>
      <c r="HA19" s="148"/>
      <c r="HB19" s="148"/>
      <c r="HC19" s="148"/>
      <c r="HD19" s="148"/>
      <c r="HE19" s="148"/>
      <c r="HF19" s="148"/>
      <c r="HG19" s="148"/>
      <c r="HH19" s="148"/>
      <c r="HI19" s="148"/>
      <c r="HJ19" s="148"/>
      <c r="HK19" s="148"/>
      <c r="HL19" s="148"/>
      <c r="AMI19" s="1"/>
      <c r="AMJ19" s="1"/>
    </row>
    <row r="20" customFormat="false" ht="38.25" hidden="false" customHeight="true" outlineLevel="0" collapsed="false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186"/>
    </row>
  </sheetData>
  <mergeCells count="7">
    <mergeCell ref="H1:J1"/>
    <mergeCell ref="AB2:AC2"/>
    <mergeCell ref="AF2:AJ2"/>
    <mergeCell ref="C10:D10"/>
    <mergeCell ref="B18:C18"/>
    <mergeCell ref="E18:F18"/>
    <mergeCell ref="E19:F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3" activeCellId="0" sqref="G3"/>
    </sheetView>
  </sheetViews>
  <sheetFormatPr defaultColWidth="11.66796875" defaultRowHeight="13.2" customHeight="false" zeroHeight="false" outlineLevelRow="0" outlineLevelCol="0"/>
  <cols>
    <col collapsed="false" customWidth="true" hidden="false" outlineLevel="0" max="1" min="1" style="1" width="49.34"/>
    <col collapsed="false" customWidth="true" hidden="false" outlineLevel="0" max="6" min="6" style="1" width="20.45"/>
    <col collapsed="false" customWidth="true" hidden="false" outlineLevel="0" max="7" min="7" style="1" width="14.35"/>
    <col collapsed="false" customWidth="true" hidden="false" outlineLevel="0" max="8" min="8" style="1" width="17"/>
    <col collapsed="false" customWidth="true" hidden="false" outlineLevel="0" max="13" min="13" style="1" width="32.22"/>
  </cols>
  <sheetData>
    <row r="1" customFormat="false" ht="37.05" hidden="false" customHeight="true" outlineLevel="0" collapsed="false">
      <c r="A1" s="187" t="s">
        <v>123</v>
      </c>
      <c r="B1" s="187"/>
      <c r="C1" s="187"/>
      <c r="D1" s="187"/>
      <c r="E1" s="187"/>
      <c r="F1" s="187"/>
      <c r="G1" s="188" t="s">
        <v>124</v>
      </c>
      <c r="H1" s="188"/>
      <c r="I1" s="188"/>
      <c r="J1" s="188"/>
      <c r="K1" s="188"/>
    </row>
    <row r="2" customFormat="false" ht="32.8" hidden="false" customHeight="false" outlineLevel="0" collapsed="false">
      <c r="A2" s="189" t="s">
        <v>125</v>
      </c>
      <c r="B2" s="190" t="s">
        <v>126</v>
      </c>
      <c r="C2" s="191" t="s">
        <v>127</v>
      </c>
      <c r="D2" s="191" t="s">
        <v>128</v>
      </c>
      <c r="E2" s="192" t="s">
        <v>129</v>
      </c>
      <c r="F2" s="192" t="s">
        <v>130</v>
      </c>
      <c r="G2" s="193" t="s">
        <v>131</v>
      </c>
      <c r="H2" s="193"/>
      <c r="I2" s="193"/>
      <c r="J2" s="193"/>
      <c r="K2" s="193"/>
    </row>
    <row r="3" customFormat="false" ht="33.45" hidden="false" customHeight="true" outlineLevel="0" collapsed="false">
      <c r="A3" s="194" t="s">
        <v>132</v>
      </c>
      <c r="B3" s="195"/>
      <c r="C3" s="196" t="n">
        <v>1</v>
      </c>
      <c r="D3" s="196" t="n">
        <v>2</v>
      </c>
      <c r="E3" s="196" t="n">
        <f aca="false">2*6</f>
        <v>12</v>
      </c>
      <c r="F3" s="197" t="n">
        <f aca="false">E3*1500</f>
        <v>18000</v>
      </c>
      <c r="G3" s="198" t="s">
        <v>6</v>
      </c>
      <c r="H3" s="198"/>
      <c r="I3" s="198"/>
      <c r="J3" s="198"/>
      <c r="K3" s="198"/>
      <c r="L3" s="198"/>
      <c r="M3" s="198"/>
    </row>
    <row r="4" customFormat="false" ht="40.35" hidden="false" customHeight="true" outlineLevel="0" collapsed="false">
      <c r="A4" s="194" t="s">
        <v>133</v>
      </c>
      <c r="B4" s="199"/>
      <c r="C4" s="200" t="n">
        <f aca="false">E4/E3</f>
        <v>84</v>
      </c>
      <c r="D4" s="201" t="n">
        <f aca="false">E4/6</f>
        <v>168</v>
      </c>
      <c r="E4" s="202" t="n">
        <v>1008</v>
      </c>
      <c r="F4" s="203" t="n">
        <f aca="false">C4*F3</f>
        <v>1512000</v>
      </c>
      <c r="G4" s="204" t="n">
        <v>1</v>
      </c>
      <c r="H4" s="205" t="s">
        <v>42</v>
      </c>
      <c r="I4" s="205"/>
      <c r="J4" s="205"/>
      <c r="K4" s="205"/>
      <c r="L4" s="205"/>
      <c r="M4" s="205"/>
    </row>
    <row r="5" customFormat="false" ht="35.8" hidden="false" customHeight="true" outlineLevel="0" collapsed="false">
      <c r="A5" s="194" t="s">
        <v>134</v>
      </c>
      <c r="B5" s="199" t="n">
        <v>0.7</v>
      </c>
      <c r="C5" s="201" t="n">
        <f aca="false">B5</f>
        <v>0.7</v>
      </c>
      <c r="D5" s="201" t="n">
        <f aca="false">C5*D3</f>
        <v>1.4</v>
      </c>
      <c r="E5" s="201" t="n">
        <f aca="false">C5*E3</f>
        <v>8.4</v>
      </c>
      <c r="F5" s="203" t="n">
        <f aca="false">C5*F3</f>
        <v>12600</v>
      </c>
      <c r="G5" s="206" t="n">
        <v>2</v>
      </c>
      <c r="H5" s="207" t="s">
        <v>135</v>
      </c>
      <c r="I5" s="207"/>
      <c r="J5" s="207"/>
      <c r="K5" s="207"/>
      <c r="L5" s="207"/>
      <c r="M5" s="207"/>
    </row>
    <row r="6" customFormat="false" ht="28.2" hidden="false" customHeight="true" outlineLevel="0" collapsed="false">
      <c r="A6" s="194" t="s">
        <v>136</v>
      </c>
      <c r="B6" s="208" t="n">
        <v>0.1</v>
      </c>
      <c r="C6" s="201" t="n">
        <f aca="false">C4*B6</f>
        <v>8.4</v>
      </c>
      <c r="D6" s="201" t="n">
        <f aca="false">C6*D3</f>
        <v>16.8</v>
      </c>
      <c r="E6" s="201" t="n">
        <f aca="false">C6*E3</f>
        <v>100.8</v>
      </c>
      <c r="F6" s="209" t="n">
        <f aca="false">C6*F3</f>
        <v>151200</v>
      </c>
      <c r="G6" s="206" t="n">
        <v>3</v>
      </c>
      <c r="H6" s="207" t="s">
        <v>137</v>
      </c>
      <c r="I6" s="207"/>
      <c r="J6" s="207"/>
      <c r="K6" s="207"/>
      <c r="L6" s="207"/>
      <c r="M6" s="207"/>
    </row>
    <row r="7" customFormat="false" ht="27.45" hidden="false" customHeight="true" outlineLevel="0" collapsed="false">
      <c r="A7" s="210" t="s">
        <v>138</v>
      </c>
      <c r="B7" s="211" t="n">
        <v>70000</v>
      </c>
      <c r="C7" s="201" t="n">
        <f aca="false">B7/F3</f>
        <v>3.88888888888889</v>
      </c>
      <c r="D7" s="201" t="n">
        <f aca="false">C7*D3</f>
        <v>7.77777777777778</v>
      </c>
      <c r="E7" s="201" t="n">
        <f aca="false">C7*E3</f>
        <v>46.6666666666667</v>
      </c>
      <c r="F7" s="203" t="n">
        <f aca="false">C7*F3</f>
        <v>70000</v>
      </c>
      <c r="G7" s="206" t="n">
        <v>4</v>
      </c>
      <c r="H7" s="207" t="s">
        <v>47</v>
      </c>
      <c r="I7" s="207"/>
      <c r="J7" s="207"/>
      <c r="K7" s="207"/>
      <c r="L7" s="207"/>
      <c r="M7" s="207"/>
    </row>
    <row r="8" customFormat="false" ht="34.8" hidden="false" customHeight="true" outlineLevel="0" collapsed="false">
      <c r="A8" s="194" t="s">
        <v>139</v>
      </c>
      <c r="B8" s="212"/>
      <c r="C8" s="201" t="n">
        <f aca="false">SUM(C4:C7)</f>
        <v>96.9888888888889</v>
      </c>
      <c r="D8" s="201" t="n">
        <f aca="false">SUM(D4:D7)</f>
        <v>193.977777777778</v>
      </c>
      <c r="E8" s="201" t="n">
        <f aca="false">SUM(E4:E7)</f>
        <v>1163.86666666667</v>
      </c>
      <c r="F8" s="203" t="n">
        <f aca="false">SUM(F4:F7)</f>
        <v>1745800</v>
      </c>
      <c r="G8" s="206" t="n">
        <v>5</v>
      </c>
      <c r="H8" s="207" t="s">
        <v>18</v>
      </c>
      <c r="I8" s="207"/>
      <c r="J8" s="207"/>
      <c r="K8" s="207"/>
      <c r="L8" s="207"/>
      <c r="M8" s="207"/>
    </row>
    <row r="9" customFormat="false" ht="28.85" hidden="false" customHeight="true" outlineLevel="0" collapsed="false">
      <c r="A9" s="194" t="s">
        <v>140</v>
      </c>
      <c r="B9" s="213" t="n">
        <v>0.01</v>
      </c>
      <c r="C9" s="201" t="n">
        <f aca="false">C8*B9</f>
        <v>0.969888888888889</v>
      </c>
      <c r="D9" s="201" t="n">
        <f aca="false">D8*B9</f>
        <v>1.93977777777778</v>
      </c>
      <c r="E9" s="201" t="n">
        <f aca="false">E8*B9</f>
        <v>11.6386666666667</v>
      </c>
      <c r="F9" s="203" t="n">
        <f aca="false">F8*B9</f>
        <v>17458</v>
      </c>
      <c r="G9" s="214" t="n">
        <v>7</v>
      </c>
      <c r="H9" s="215" t="s">
        <v>20</v>
      </c>
      <c r="I9" s="215"/>
      <c r="J9" s="215"/>
      <c r="K9" s="215"/>
      <c r="L9" s="215"/>
      <c r="M9" s="215"/>
    </row>
    <row r="10" customFormat="false" ht="18.3" hidden="false" customHeight="true" outlineLevel="0" collapsed="false">
      <c r="A10" s="194" t="s">
        <v>141</v>
      </c>
      <c r="B10" s="216"/>
      <c r="C10" s="201" t="n">
        <f aca="false">SUM(C8:C9)</f>
        <v>97.9587777777778</v>
      </c>
      <c r="D10" s="201" t="n">
        <f aca="false">SUM(D8:D9)</f>
        <v>195.917555555556</v>
      </c>
      <c r="E10" s="201" t="n">
        <f aca="false">SUM(E8:E9)</f>
        <v>1175.50533333333</v>
      </c>
      <c r="F10" s="203" t="n">
        <f aca="false">SUM(F8:F9)</f>
        <v>1763258</v>
      </c>
      <c r="G10" s="217"/>
    </row>
    <row r="11" customFormat="false" ht="27.45" hidden="false" customHeight="true" outlineLevel="0" collapsed="false">
      <c r="A11" s="189" t="s">
        <v>142</v>
      </c>
      <c r="B11" s="218" t="n">
        <v>81</v>
      </c>
      <c r="C11" s="219" t="n">
        <f aca="false">C10/B11</f>
        <v>1.20936762688615</v>
      </c>
      <c r="D11" s="219" t="n">
        <f aca="false">D10/B11</f>
        <v>2.41873525377229</v>
      </c>
      <c r="E11" s="220" t="n">
        <f aca="false">E10/B11</f>
        <v>14.5124115226337</v>
      </c>
      <c r="F11" s="219" t="n">
        <f aca="false">F10/B11</f>
        <v>21768.6172839506</v>
      </c>
      <c r="G11" s="221"/>
    </row>
    <row r="12" customFormat="false" ht="21.9" hidden="false" customHeight="true" outlineLevel="0" collapsed="false">
      <c r="A12" s="194" t="s">
        <v>143</v>
      </c>
      <c r="B12" s="222" t="n">
        <v>4300</v>
      </c>
      <c r="C12" s="201" t="n">
        <f aca="false">B12/F3</f>
        <v>0.238888888888889</v>
      </c>
      <c r="D12" s="201" t="n">
        <f aca="false">C12*D3</f>
        <v>0.477777777777778</v>
      </c>
      <c r="E12" s="201" t="n">
        <f aca="false">C12*E3</f>
        <v>2.86666666666667</v>
      </c>
      <c r="F12" s="201" t="n">
        <f aca="false">C12*F3</f>
        <v>4300</v>
      </c>
      <c r="G12" s="221"/>
      <c r="I12" s="34"/>
      <c r="O12" s="33"/>
      <c r="P12" s="33"/>
    </row>
    <row r="13" s="33" customFormat="true" ht="23.85" hidden="false" customHeight="true" outlineLevel="0" collapsed="false">
      <c r="A13" s="223" t="s">
        <v>22</v>
      </c>
      <c r="B13" s="224"/>
      <c r="C13" s="225" t="n">
        <f aca="false">SUM(C11:C12)</f>
        <v>1.44825651577503</v>
      </c>
      <c r="D13" s="225" t="n">
        <f aca="false">SUM(D11:D12)</f>
        <v>2.89651303155007</v>
      </c>
      <c r="E13" s="225" t="n">
        <f aca="false">SUM(E11:E12)</f>
        <v>17.3790781893004</v>
      </c>
      <c r="F13" s="225" t="n">
        <f aca="false">SUM(F11:F12)</f>
        <v>26068.6172839506</v>
      </c>
      <c r="G13" s="226"/>
    </row>
    <row r="16" customFormat="false" ht="25.5" hidden="false" customHeight="true" outlineLevel="0" collapsed="false">
      <c r="C16" s="227" t="s">
        <v>144</v>
      </c>
      <c r="D16" s="227"/>
      <c r="E16" s="227"/>
      <c r="F16" s="228"/>
    </row>
    <row r="17" customFormat="false" ht="12.8" hidden="false" customHeight="false" outlineLevel="0" collapsed="false"/>
    <row r="18" s="9" customFormat="true" ht="27.3" hidden="false" customHeight="true" outlineLevel="0" collapsed="false">
      <c r="A18" s="1"/>
      <c r="B18" s="1"/>
      <c r="C18" s="1"/>
      <c r="D18" s="1"/>
      <c r="F18" s="9" t="s">
        <v>23</v>
      </c>
    </row>
    <row r="1048576" customFormat="false" ht="12.8" hidden="false" customHeight="false" outlineLevel="0" collapsed="false"/>
  </sheetData>
  <mergeCells count="11">
    <mergeCell ref="A1:F1"/>
    <mergeCell ref="G1:K1"/>
    <mergeCell ref="G2:K2"/>
    <mergeCell ref="G3:M3"/>
    <mergeCell ref="H4:M4"/>
    <mergeCell ref="H5:M5"/>
    <mergeCell ref="H6:M6"/>
    <mergeCell ref="H7:M7"/>
    <mergeCell ref="H8:M8"/>
    <mergeCell ref="H9:M9"/>
    <mergeCell ref="C16:E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2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1" activeCellId="0" sqref="H11"/>
    </sheetView>
  </sheetViews>
  <sheetFormatPr defaultColWidth="11.66796875" defaultRowHeight="13.2" customHeight="false" zeroHeight="false" outlineLevelRow="0" outlineLevelCol="0"/>
  <cols>
    <col collapsed="false" customWidth="true" hidden="false" outlineLevel="0" max="1" min="1" style="1" width="35.66"/>
    <col collapsed="false" customWidth="true" hidden="false" outlineLevel="0" max="2" min="2" style="1" width="19.45"/>
    <col collapsed="false" customWidth="true" hidden="false" outlineLevel="0" max="3" min="3" style="1" width="23.42"/>
    <col collapsed="false" customWidth="true" hidden="false" outlineLevel="0" max="4" min="4" style="1" width="15.34"/>
    <col collapsed="false" customWidth="true" hidden="false" outlineLevel="0" max="5" min="5" style="1" width="21.25"/>
    <col collapsed="false" customWidth="true" hidden="false" outlineLevel="0" max="6" min="6" style="1" width="30.1"/>
    <col collapsed="false" customWidth="true" hidden="false" outlineLevel="0" max="7" min="7" style="1" width="8"/>
    <col collapsed="false" customWidth="true" hidden="false" outlineLevel="0" max="8" min="8" style="1" width="72.02"/>
    <col collapsed="false" customWidth="true" hidden="false" outlineLevel="0" max="9" min="9" style="1" width="21.78"/>
    <col collapsed="false" customWidth="true" hidden="false" outlineLevel="0" max="10" min="10" style="1" width="21.1"/>
    <col collapsed="false" customWidth="true" hidden="false" outlineLevel="0" max="1024" min="1023" style="1" width="11.52"/>
  </cols>
  <sheetData>
    <row r="1" customFormat="false" ht="12.8" hidden="false" customHeight="false" outlineLevel="0" collapsed="false">
      <c r="H1" s="229" t="s">
        <v>6</v>
      </c>
    </row>
    <row r="2" customFormat="false" ht="12.8" hidden="false" customHeight="false" outlineLevel="0" collapsed="false">
      <c r="H2" s="229"/>
    </row>
    <row r="3" customFormat="false" ht="12.8" hidden="false" customHeight="false" outlineLevel="0" collapsed="false">
      <c r="A3" s="230" t="s">
        <v>145</v>
      </c>
      <c r="B3" s="230"/>
      <c r="C3" s="230"/>
      <c r="D3" s="230"/>
      <c r="E3" s="231" t="s">
        <v>146</v>
      </c>
      <c r="F3" s="232"/>
      <c r="H3" s="229"/>
    </row>
    <row r="4" customFormat="false" ht="37.8" hidden="false" customHeight="true" outlineLevel="0" collapsed="false">
      <c r="A4" s="233" t="s">
        <v>145</v>
      </c>
      <c r="B4" s="234"/>
      <c r="C4" s="234"/>
      <c r="D4" s="235" t="s">
        <v>147</v>
      </c>
      <c r="E4" s="235"/>
      <c r="F4" s="236" t="n">
        <v>81</v>
      </c>
      <c r="G4" s="237" t="n">
        <v>1</v>
      </c>
      <c r="H4" s="1" t="s">
        <v>42</v>
      </c>
    </row>
    <row r="5" customFormat="false" ht="51.15" hidden="false" customHeight="true" outlineLevel="0" collapsed="false">
      <c r="A5" s="238" t="s">
        <v>148</v>
      </c>
      <c r="B5" s="234" t="s">
        <v>149</v>
      </c>
      <c r="C5" s="234"/>
      <c r="D5" s="239" t="s">
        <v>150</v>
      </c>
      <c r="E5" s="239"/>
      <c r="F5" s="240" t="n">
        <v>3800</v>
      </c>
      <c r="G5" s="241" t="n">
        <v>2</v>
      </c>
      <c r="H5" s="1" t="s">
        <v>151</v>
      </c>
    </row>
    <row r="6" s="244" customFormat="true" ht="22.95" hidden="false" customHeight="true" outlineLevel="0" collapsed="false">
      <c r="A6" s="239" t="s">
        <v>152</v>
      </c>
      <c r="B6" s="239" t="s">
        <v>153</v>
      </c>
      <c r="C6" s="239" t="s">
        <v>154</v>
      </c>
      <c r="D6" s="239" t="s">
        <v>155</v>
      </c>
      <c r="E6" s="239"/>
      <c r="F6" s="239" t="s">
        <v>156</v>
      </c>
      <c r="G6" s="242" t="n">
        <v>3</v>
      </c>
      <c r="H6" s="243" t="s">
        <v>157</v>
      </c>
      <c r="AMI6" s="1"/>
      <c r="AMJ6" s="1"/>
    </row>
    <row r="7" s="244" customFormat="true" ht="22.05" hidden="false" customHeight="true" outlineLevel="0" collapsed="false">
      <c r="A7" s="239"/>
      <c r="B7" s="239"/>
      <c r="C7" s="239" t="s">
        <v>158</v>
      </c>
      <c r="D7" s="239" t="s">
        <v>159</v>
      </c>
      <c r="E7" s="239"/>
      <c r="F7" s="239" t="s">
        <v>160</v>
      </c>
      <c r="G7" s="242" t="n">
        <v>4</v>
      </c>
      <c r="H7" s="243" t="s">
        <v>161</v>
      </c>
      <c r="AMI7" s="1"/>
      <c r="AMJ7" s="1"/>
    </row>
    <row r="8" customFormat="false" ht="20.55" hidden="false" customHeight="true" outlineLevel="0" collapsed="false">
      <c r="A8" s="245" t="s">
        <v>162</v>
      </c>
      <c r="B8" s="246" t="n">
        <v>175</v>
      </c>
      <c r="C8" s="247" t="n">
        <f aca="false">B8</f>
        <v>175</v>
      </c>
      <c r="D8" s="247" t="n">
        <f aca="false">B8*10.764</f>
        <v>1883.7</v>
      </c>
      <c r="E8" s="247" t="n">
        <f aca="false">((E4*10.764)*B8)</f>
        <v>0</v>
      </c>
      <c r="F8" s="248" t="n">
        <f aca="false">F5*B8</f>
        <v>665000</v>
      </c>
      <c r="G8" s="241" t="n">
        <v>5</v>
      </c>
      <c r="H8" s="1" t="s">
        <v>47</v>
      </c>
    </row>
    <row r="9" customFormat="false" ht="24.45" hidden="false" customHeight="true" outlineLevel="0" collapsed="false">
      <c r="A9" s="245" t="s">
        <v>163</v>
      </c>
      <c r="B9" s="249"/>
      <c r="C9" s="247"/>
      <c r="D9" s="247"/>
      <c r="E9" s="247"/>
      <c r="F9" s="247"/>
      <c r="G9" s="241" t="n">
        <v>6</v>
      </c>
      <c r="H9" s="1" t="s">
        <v>164</v>
      </c>
    </row>
    <row r="10" customFormat="false" ht="22.05" hidden="false" customHeight="true" outlineLevel="0" collapsed="false">
      <c r="A10" s="250" t="s">
        <v>165</v>
      </c>
      <c r="B10" s="250"/>
      <c r="C10" s="250" t="n">
        <f aca="false">SUM(C8:C9)</f>
        <v>175</v>
      </c>
      <c r="D10" s="250" t="n">
        <f aca="false">C10*10.764</f>
        <v>1883.7</v>
      </c>
      <c r="E10" s="250" t="n">
        <f aca="false">E4*D10</f>
        <v>0</v>
      </c>
      <c r="F10" s="251" t="n">
        <f aca="false">SUM(F8:F9)</f>
        <v>665000</v>
      </c>
      <c r="G10" s="241" t="n">
        <v>7</v>
      </c>
      <c r="H10" s="1" t="s">
        <v>20</v>
      </c>
    </row>
    <row r="11" customFormat="false" ht="26.85" hidden="false" customHeight="true" outlineLevel="0" collapsed="false">
      <c r="A11" s="245" t="s">
        <v>166</v>
      </c>
      <c r="B11" s="252" t="n">
        <v>65000</v>
      </c>
      <c r="C11" s="249" t="n">
        <f aca="false">B11/F5</f>
        <v>17.1052631578947</v>
      </c>
      <c r="D11" s="249" t="n">
        <f aca="false">C11*10.764</f>
        <v>184.121052631579</v>
      </c>
      <c r="E11" s="249" t="n">
        <f aca="false">E4*D11</f>
        <v>0</v>
      </c>
      <c r="F11" s="253" t="n">
        <f aca="false">C11*F5</f>
        <v>65000</v>
      </c>
      <c r="G11" s="241" t="n">
        <v>8</v>
      </c>
      <c r="H11" s="1" t="s">
        <v>167</v>
      </c>
    </row>
    <row r="12" customFormat="false" ht="20.85" hidden="false" customHeight="true" outlineLevel="0" collapsed="false">
      <c r="A12" s="245" t="s">
        <v>168</v>
      </c>
      <c r="B12" s="254" t="n">
        <v>0.02</v>
      </c>
      <c r="C12" s="249" t="n">
        <f aca="false">(SUM(C13,C11,C10)*B12)</f>
        <v>4.1921052631579</v>
      </c>
      <c r="D12" s="249" t="n">
        <f aca="false">C12*10.764</f>
        <v>45.1238210526316</v>
      </c>
      <c r="E12" s="249" t="n">
        <f aca="false">E4*D12</f>
        <v>0</v>
      </c>
      <c r="F12" s="253" t="n">
        <f aca="false">C12*F5</f>
        <v>15930</v>
      </c>
      <c r="G12" s="241" t="n">
        <v>9</v>
      </c>
      <c r="H12" s="1" t="s">
        <v>169</v>
      </c>
    </row>
    <row r="13" customFormat="false" ht="17.9" hidden="false" customHeight="true" outlineLevel="0" collapsed="false">
      <c r="A13" s="245" t="s">
        <v>72</v>
      </c>
      <c r="B13" s="255" t="n">
        <v>0.1</v>
      </c>
      <c r="C13" s="249" t="n">
        <f aca="false">SUM(C10)*B13</f>
        <v>17.5</v>
      </c>
      <c r="D13" s="249" t="n">
        <f aca="false">C13*10.764</f>
        <v>188.37</v>
      </c>
      <c r="E13" s="256" t="n">
        <f aca="false">E4*D13</f>
        <v>0</v>
      </c>
      <c r="F13" s="257" t="n">
        <f aca="false">C13*F5</f>
        <v>66500</v>
      </c>
      <c r="H13" s="1" t="s">
        <v>170</v>
      </c>
    </row>
    <row r="14" customFormat="false" ht="12.8" hidden="false" customHeight="false" outlineLevel="0" collapsed="false">
      <c r="A14" s="258" t="s">
        <v>171</v>
      </c>
      <c r="B14" s="258"/>
      <c r="C14" s="259" t="n">
        <f aca="false">SUM(C10:C13)</f>
        <v>213.797368421053</v>
      </c>
      <c r="D14" s="259" t="n">
        <f aca="false">C14*10.764</f>
        <v>2301.31487368421</v>
      </c>
      <c r="E14" s="259"/>
      <c r="F14" s="260" t="n">
        <f aca="false">SUM(F10:F13)</f>
        <v>812430</v>
      </c>
    </row>
    <row r="15" customFormat="false" ht="12.8" hidden="false" customHeight="false" outlineLevel="0" collapsed="false">
      <c r="A15" s="247"/>
      <c r="B15" s="247"/>
      <c r="C15" s="247"/>
      <c r="D15" s="247"/>
      <c r="E15" s="247"/>
      <c r="F15" s="247"/>
    </row>
    <row r="16" customFormat="false" ht="24.45" hidden="false" customHeight="true" outlineLevel="0" collapsed="false">
      <c r="A16" s="261" t="s">
        <v>172</v>
      </c>
      <c r="B16" s="262"/>
      <c r="C16" s="263" t="n">
        <f aca="false">C14/F4</f>
        <v>2.63947368421053</v>
      </c>
      <c r="D16" s="264" t="n">
        <f aca="false">D14/F4</f>
        <v>28.4112947368421</v>
      </c>
      <c r="E16" s="264"/>
      <c r="F16" s="265" t="n">
        <f aca="false">F14/F4</f>
        <v>10030</v>
      </c>
    </row>
    <row r="17" customFormat="false" ht="12.8" hidden="false" customHeight="false" outlineLevel="0" collapsed="false">
      <c r="A17" s="247"/>
      <c r="B17" s="266"/>
      <c r="C17" s="266"/>
      <c r="D17" s="266"/>
      <c r="E17" s="266"/>
      <c r="F17" s="266"/>
    </row>
    <row r="18" customFormat="false" ht="12.8" hidden="false" customHeight="false" outlineLevel="0" collapsed="false">
      <c r="A18" s="245" t="s">
        <v>173</v>
      </c>
      <c r="B18" s="267" t="n">
        <v>7800</v>
      </c>
      <c r="C18" s="268" t="n">
        <f aca="false">B18/F5</f>
        <v>2.05263157894737</v>
      </c>
      <c r="D18" s="253" t="n">
        <f aca="false">C18*10.764</f>
        <v>22.0945263157895</v>
      </c>
      <c r="E18" s="253" t="n">
        <f aca="false">D18*E4</f>
        <v>0</v>
      </c>
      <c r="F18" s="253" t="n">
        <f aca="false">C18*F5</f>
        <v>7800</v>
      </c>
    </row>
    <row r="19" customFormat="false" ht="12.8" hidden="false" customHeight="false" outlineLevel="0" collapsed="false">
      <c r="A19" s="245"/>
      <c r="B19" s="268"/>
      <c r="C19" s="268"/>
      <c r="D19" s="253"/>
      <c r="E19" s="253"/>
      <c r="F19" s="253"/>
    </row>
    <row r="20" customFormat="false" ht="25.8" hidden="false" customHeight="true" outlineLevel="0" collapsed="false">
      <c r="A20" s="245" t="s">
        <v>174</v>
      </c>
      <c r="B20" s="268"/>
      <c r="C20" s="269" t="n">
        <f aca="false">SUM(C16:C18)</f>
        <v>4.6921052631579</v>
      </c>
      <c r="D20" s="270" t="n">
        <f aca="false">SUM(D16:D18)</f>
        <v>50.5058210526316</v>
      </c>
      <c r="E20" s="270" t="n">
        <f aca="false">SUM(E16:E18)</f>
        <v>0</v>
      </c>
      <c r="F20" s="270" t="n">
        <f aca="false">SUM(F16:F18)</f>
        <v>17830</v>
      </c>
    </row>
    <row r="22" customFormat="false" ht="13.2" hidden="false" customHeight="false" outlineLevel="0" collapsed="false">
      <c r="A22" s="228"/>
      <c r="B22" s="228"/>
      <c r="C22" s="228"/>
      <c r="D22" s="228"/>
      <c r="E22" s="228"/>
      <c r="F22" s="228"/>
    </row>
    <row r="24" customFormat="false" ht="12.8" hidden="false" customHeight="false" outlineLevel="0" collapsed="false">
      <c r="A24" s="271" t="s">
        <v>175</v>
      </c>
      <c r="B24" s="271"/>
      <c r="C24" s="271"/>
      <c r="D24" s="271"/>
      <c r="E24" s="271"/>
      <c r="F24" s="271"/>
    </row>
    <row r="25" customFormat="false" ht="13.2" hidden="false" customHeight="false" outlineLevel="0" collapsed="false">
      <c r="A25" s="271"/>
      <c r="B25" s="271"/>
      <c r="C25" s="271"/>
      <c r="D25" s="271"/>
      <c r="E25" s="271"/>
      <c r="F25" s="271"/>
    </row>
    <row r="26" customFormat="false" ht="78.15" hidden="false" customHeight="true" outlineLevel="0" collapsed="false">
      <c r="A26" s="272" t="s">
        <v>106</v>
      </c>
      <c r="B26" s="272" t="s">
        <v>176</v>
      </c>
      <c r="C26" s="272" t="s">
        <v>177</v>
      </c>
      <c r="D26" s="272" t="s">
        <v>178</v>
      </c>
      <c r="E26" s="272" t="s">
        <v>179</v>
      </c>
      <c r="F26" s="272" t="s">
        <v>180</v>
      </c>
    </row>
    <row r="27" customFormat="false" ht="85.2" hidden="false" customHeight="true" outlineLevel="0" collapsed="false">
      <c r="A27" s="273" t="n">
        <v>1</v>
      </c>
      <c r="B27" s="274" t="str">
        <f aca="false">A3</f>
        <v>Multi Red</v>
      </c>
      <c r="C27" s="275" t="str">
        <f aca="false">A5</f>
        <v>60 x 40cm thickness 3cm
Flamed, Brushed &amp; Chambered
(Thickness +/- 1mm tolerance)</v>
      </c>
      <c r="D27" s="276" t="n">
        <f aca="false">D16</f>
        <v>28.4112947368421</v>
      </c>
      <c r="E27" s="276" t="n">
        <f aca="false">D20</f>
        <v>50.5058210526316</v>
      </c>
      <c r="F27" s="273" t="n">
        <f aca="false">F5</f>
        <v>3800</v>
      </c>
    </row>
  </sheetData>
  <mergeCells count="3">
    <mergeCell ref="H1:H3"/>
    <mergeCell ref="A3:D3"/>
    <mergeCell ref="A24:F2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I13" activeCellId="0" sqref="I13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10.26"/>
    <col collapsed="false" customWidth="true" hidden="false" outlineLevel="0" max="2" min="2" style="0" width="35.07"/>
    <col collapsed="false" customWidth="true" hidden="false" outlineLevel="0" max="3" min="3" style="0" width="10.67"/>
    <col collapsed="false" customWidth="true" hidden="false" outlineLevel="0" max="4" min="4" style="0" width="10.57"/>
    <col collapsed="false" customWidth="true" hidden="false" outlineLevel="0" max="5" min="5" style="0" width="12.42"/>
    <col collapsed="false" customWidth="true" hidden="false" outlineLevel="0" max="6" min="6" style="0" width="17.31"/>
    <col collapsed="false" customWidth="true" hidden="false" outlineLevel="0" max="7" min="7" style="0" width="12.96"/>
    <col collapsed="false" customWidth="true" hidden="false" outlineLevel="0" max="10" min="8" style="0" width="10.26"/>
    <col collapsed="false" customWidth="true" hidden="false" outlineLevel="0" max="11" min="11" style="0" width="24.61"/>
    <col collapsed="false" customWidth="true" hidden="false" outlineLevel="0" max="12" min="12" style="0" width="12.42"/>
    <col collapsed="false" customWidth="true" hidden="false" outlineLevel="0" max="13" min="13" style="0" width="28.1"/>
    <col collapsed="false" customWidth="true" hidden="false" outlineLevel="0" max="20" min="14" style="0" width="10.26"/>
    <col collapsed="false" customWidth="true" hidden="false" outlineLevel="0" max="21" min="21" style="0" width="15.03"/>
  </cols>
  <sheetData>
    <row r="1" customFormat="false" ht="12.8" hidden="false" customHeight="false" outlineLevel="0" collapsed="false">
      <c r="G1" s="0" t="s">
        <v>181</v>
      </c>
      <c r="R1" s="277" t="s">
        <v>182</v>
      </c>
      <c r="S1" s="277"/>
      <c r="T1" s="277"/>
      <c r="U1" s="278" t="s">
        <v>183</v>
      </c>
    </row>
    <row r="2" customFormat="false" ht="12.8" hidden="false" customHeight="false" outlineLevel="0" collapsed="false">
      <c r="F2" s="0" t="s">
        <v>184</v>
      </c>
      <c r="G2" s="0" t="str">
        <f aca="false">_xlfn.TEXTBEFORE(U4, " ")</f>
        <v>14.93</v>
      </c>
      <c r="R2" s="279" t="s">
        <v>185</v>
      </c>
      <c r="S2" s="279" t="s">
        <v>186</v>
      </c>
      <c r="T2" s="279" t="s">
        <v>101</v>
      </c>
      <c r="U2" s="279"/>
    </row>
    <row r="3" customFormat="false" ht="12.8" hidden="false" customHeight="false" outlineLevel="0" collapsed="false">
      <c r="F3" s="0" t="s">
        <v>187</v>
      </c>
      <c r="G3" s="0" t="n">
        <v>12</v>
      </c>
      <c r="R3" s="279" t="n">
        <v>125</v>
      </c>
      <c r="S3" s="279" t="n">
        <v>250</v>
      </c>
      <c r="T3" s="279" t="n">
        <v>60</v>
      </c>
      <c r="U3" s="279" t="n">
        <f aca="false">(R3*S3*T3)/1000000</f>
        <v>1.875</v>
      </c>
    </row>
    <row r="4" customFormat="false" ht="12.8" hidden="false" customHeight="false" outlineLevel="0" collapsed="false">
      <c r="R4" s="280"/>
      <c r="S4" s="280"/>
      <c r="T4" s="280" t="n">
        <v>28</v>
      </c>
      <c r="U4" s="280" t="str">
        <f aca="false">ROUND(T4/$U$3,2) &amp; " Pallet"</f>
        <v>14.93 Pallet</v>
      </c>
    </row>
    <row r="5" customFormat="false" ht="15" hidden="false" customHeight="false" outlineLevel="0" collapsed="false">
      <c r="B5" s="281" t="s">
        <v>188</v>
      </c>
      <c r="C5" s="282"/>
      <c r="D5" s="282"/>
      <c r="E5" s="282"/>
      <c r="F5" s="282"/>
      <c r="G5" s="282"/>
      <c r="R5" s="280"/>
      <c r="S5" s="280"/>
      <c r="T5" s="280" t="n">
        <v>68</v>
      </c>
      <c r="U5" s="280" t="str">
        <f aca="false">ROUND(T5/$U$3,2) &amp; " Pallet"</f>
        <v>36.27 Pallet</v>
      </c>
    </row>
    <row r="6" customFormat="false" ht="28.45" hidden="false" customHeight="false" outlineLevel="0" collapsed="false">
      <c r="A6" s="283"/>
      <c r="B6" s="284" t="str">
        <f aca="false">_xlfn.CONCAT(L18," ", K18, " 2mm Thickness")</f>
        <v>  2mm Thickness</v>
      </c>
      <c r="C6" s="285" t="s">
        <v>126</v>
      </c>
      <c r="D6" s="285" t="s">
        <v>189</v>
      </c>
      <c r="E6" s="286" t="s">
        <v>190</v>
      </c>
      <c r="F6" s="286" t="s">
        <v>191</v>
      </c>
      <c r="G6" s="286" t="s">
        <v>192</v>
      </c>
    </row>
    <row r="7" customFormat="false" ht="15" hidden="false" customHeight="false" outlineLevel="0" collapsed="false">
      <c r="B7" s="287" t="s">
        <v>193</v>
      </c>
      <c r="C7" s="288"/>
      <c r="D7" s="288" t="n">
        <v>1</v>
      </c>
      <c r="E7" s="288" t="n">
        <v>1</v>
      </c>
      <c r="F7" s="288" t="n">
        <v>100</v>
      </c>
      <c r="G7" s="288" t="n">
        <f aca="false">F7*G3</f>
        <v>1200</v>
      </c>
    </row>
    <row r="8" customFormat="false" ht="15" hidden="false" customHeight="false" outlineLevel="0" collapsed="false">
      <c r="B8" s="287" t="s">
        <v>194</v>
      </c>
      <c r="C8" s="288" t="n">
        <v>1800</v>
      </c>
      <c r="D8" s="288" t="n">
        <f aca="false">E8/32</f>
        <v>56.25</v>
      </c>
      <c r="E8" s="288" t="n">
        <f aca="false">C8</f>
        <v>1800</v>
      </c>
      <c r="F8" s="288" t="n">
        <f aca="false">E8*$F$7</f>
        <v>180000</v>
      </c>
      <c r="G8" s="288" t="n">
        <f aca="false">E8*G7</f>
        <v>2160000</v>
      </c>
      <c r="L8" s="280"/>
    </row>
    <row r="9" customFormat="false" ht="15" hidden="false" customHeight="false" outlineLevel="0" collapsed="false">
      <c r="B9" s="287" t="s">
        <v>72</v>
      </c>
      <c r="C9" s="289" t="n">
        <v>0.05</v>
      </c>
      <c r="D9" s="288" t="n">
        <f aca="false">E9/32</f>
        <v>2.8125</v>
      </c>
      <c r="E9" s="288" t="n">
        <f aca="false">E8*C9</f>
        <v>90</v>
      </c>
      <c r="F9" s="288" t="n">
        <f aca="false">E9*$F$7</f>
        <v>9000</v>
      </c>
      <c r="G9" s="288" t="n">
        <f aca="false">G8*C9</f>
        <v>108000</v>
      </c>
      <c r="L9" s="290"/>
    </row>
    <row r="10" customFormat="false" ht="15" hidden="false" customHeight="false" outlineLevel="0" collapsed="false">
      <c r="B10" s="287" t="s">
        <v>195</v>
      </c>
      <c r="C10" s="288" t="n">
        <v>25000</v>
      </c>
      <c r="D10" s="291" t="n">
        <f aca="false">E10/32</f>
        <v>0.651041666666667</v>
      </c>
      <c r="E10" s="291" t="n">
        <f aca="false">C10/G7</f>
        <v>20.8333333333333</v>
      </c>
      <c r="F10" s="291" t="n">
        <f aca="false">E10*$F$7</f>
        <v>2083.33333333333</v>
      </c>
      <c r="G10" s="288" t="n">
        <f aca="false">E10*$G$7</f>
        <v>25000</v>
      </c>
      <c r="L10" s="280"/>
    </row>
    <row r="11" customFormat="false" ht="15" hidden="false" customHeight="false" outlineLevel="0" collapsed="false">
      <c r="B11" s="287" t="s">
        <v>196</v>
      </c>
      <c r="C11" s="288" t="n">
        <v>50000</v>
      </c>
      <c r="D11" s="291" t="n">
        <f aca="false">E11/32</f>
        <v>1.30208333333333</v>
      </c>
      <c r="E11" s="291" t="n">
        <f aca="false">C11/G7</f>
        <v>41.6666666666667</v>
      </c>
      <c r="F11" s="291" t="n">
        <f aca="false">E11*$F$7</f>
        <v>4166.66666666667</v>
      </c>
      <c r="G11" s="288" t="n">
        <f aca="false">E11*$G$7</f>
        <v>50000</v>
      </c>
      <c r="L11" s="280"/>
    </row>
    <row r="12" customFormat="false" ht="15" hidden="false" customHeight="false" outlineLevel="0" collapsed="false">
      <c r="B12" s="287" t="s">
        <v>197</v>
      </c>
      <c r="C12" s="288"/>
      <c r="D12" s="291" t="n">
        <f aca="false">E12/32</f>
        <v>61.015625</v>
      </c>
      <c r="E12" s="291" t="n">
        <f aca="false">SUM(E8:E11)</f>
        <v>1952.5</v>
      </c>
      <c r="F12" s="291" t="n">
        <f aca="false">E12*$F$7</f>
        <v>195250</v>
      </c>
      <c r="G12" s="288" t="n">
        <f aca="false">E12*$G$7</f>
        <v>2343000</v>
      </c>
      <c r="L12" s="292"/>
    </row>
    <row r="13" customFormat="false" ht="15" hidden="false" customHeight="false" outlineLevel="0" collapsed="false">
      <c r="B13" s="287" t="s">
        <v>198</v>
      </c>
      <c r="C13" s="293" t="n">
        <v>0.03</v>
      </c>
      <c r="D13" s="291" t="n">
        <f aca="false">E13/32</f>
        <v>1.83046875</v>
      </c>
      <c r="E13" s="291" t="n">
        <f aca="false">E12*C13</f>
        <v>58.575</v>
      </c>
      <c r="F13" s="291" t="n">
        <f aca="false">F12*C13</f>
        <v>5857.5</v>
      </c>
      <c r="G13" s="288" t="n">
        <f aca="false">G12*C13</f>
        <v>70290</v>
      </c>
      <c r="K13" s="294"/>
      <c r="L13" s="280"/>
    </row>
    <row r="14" customFormat="false" ht="15" hidden="false" customHeight="false" outlineLevel="0" collapsed="false">
      <c r="B14" s="287" t="s">
        <v>15</v>
      </c>
      <c r="C14" s="293"/>
      <c r="D14" s="291" t="n">
        <f aca="false">D13+D12</f>
        <v>62.84609375</v>
      </c>
      <c r="E14" s="291" t="n">
        <f aca="false">E13+E12</f>
        <v>2011.075</v>
      </c>
      <c r="F14" s="291" t="n">
        <f aca="false">F13+F12</f>
        <v>201107.5</v>
      </c>
      <c r="G14" s="288" t="n">
        <f aca="false">G13+G12</f>
        <v>2413290</v>
      </c>
      <c r="K14" s="294"/>
      <c r="L14" s="280"/>
    </row>
    <row r="15" customFormat="false" ht="15" hidden="false" customHeight="false" outlineLevel="0" collapsed="false">
      <c r="B15" s="287" t="s">
        <v>199</v>
      </c>
      <c r="C15" s="288" t="n">
        <v>94</v>
      </c>
      <c r="D15" s="295" t="n">
        <f aca="false">D14/C15</f>
        <v>0.668575465425532</v>
      </c>
      <c r="E15" s="295" t="n">
        <f aca="false">E14/C15</f>
        <v>21.394414893617</v>
      </c>
      <c r="F15" s="295" t="n">
        <f aca="false">F14/C15</f>
        <v>2139.4414893617</v>
      </c>
      <c r="G15" s="295" t="n">
        <f aca="false">G14/C15</f>
        <v>25673.2978723404</v>
      </c>
      <c r="L15" s="280"/>
    </row>
    <row r="16" customFormat="false" ht="15" hidden="false" customHeight="false" outlineLevel="0" collapsed="false">
      <c r="B16" s="287" t="s">
        <v>118</v>
      </c>
      <c r="C16" s="295" t="n">
        <v>4500</v>
      </c>
      <c r="D16" s="295" t="n">
        <f aca="false">E16/32</f>
        <v>0.1171875</v>
      </c>
      <c r="E16" s="295" t="n">
        <f aca="false">C16/G7</f>
        <v>3.75</v>
      </c>
      <c r="F16" s="295" t="n">
        <f aca="false">$E$16*F7</f>
        <v>375</v>
      </c>
      <c r="G16" s="295" t="n">
        <f aca="false">$E$16*G7</f>
        <v>4500</v>
      </c>
    </row>
    <row r="17" customFormat="false" ht="15" hidden="false" customHeight="false" outlineLevel="0" collapsed="false">
      <c r="B17" s="287" t="s">
        <v>200</v>
      </c>
      <c r="C17" s="288"/>
      <c r="D17" s="295" t="n">
        <f aca="false">E17/32</f>
        <v>0.785762965425532</v>
      </c>
      <c r="E17" s="295" t="n">
        <f aca="false">SUM(E15:E16)</f>
        <v>25.144414893617</v>
      </c>
      <c r="F17" s="295" t="n">
        <f aca="false">SUM(F15:F16)</f>
        <v>2514.4414893617</v>
      </c>
      <c r="G17" s="296" t="n">
        <f aca="false">SUM(G15:G16)</f>
        <v>30173.2978723404</v>
      </c>
      <c r="L17" s="280"/>
    </row>
    <row r="18" customFormat="false" ht="12.8" hidden="false" customHeight="false" outlineLevel="0" collapsed="false">
      <c r="L18" s="280"/>
    </row>
    <row r="19" customFormat="false" ht="14.9" hidden="false" customHeight="false" outlineLevel="0" collapsed="false">
      <c r="B19" s="297" t="s">
        <v>201</v>
      </c>
      <c r="C19" s="297"/>
      <c r="D19" s="297"/>
      <c r="E19" s="297"/>
    </row>
    <row r="20" customFormat="false" ht="14.9" hidden="false" customHeight="false" outlineLevel="0" collapsed="false">
      <c r="B20" s="297" t="s">
        <v>202</v>
      </c>
      <c r="C20" s="297"/>
      <c r="D20" s="297"/>
      <c r="E20" s="297"/>
    </row>
    <row r="21" customFormat="false" ht="14.9" hidden="false" customHeight="false" outlineLevel="0" collapsed="false">
      <c r="B21" s="298" t="s">
        <v>203</v>
      </c>
      <c r="C21" s="298"/>
      <c r="D21" s="298"/>
      <c r="E21" s="298"/>
    </row>
    <row r="22" customFormat="false" ht="14.9" hidden="false" customHeight="false" outlineLevel="0" collapsed="false">
      <c r="B22" s="298" t="s">
        <v>204</v>
      </c>
      <c r="C22" s="298"/>
      <c r="D22" s="298"/>
      <c r="E22" s="298"/>
    </row>
  </sheetData>
  <mergeCells count="4">
    <mergeCell ref="R1:T1"/>
    <mergeCell ref="C5:G5"/>
    <mergeCell ref="B21:E21"/>
    <mergeCell ref="B22:E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10.26"/>
    <col collapsed="false" customWidth="true" hidden="false" outlineLevel="0" max="2" min="2" style="0" width="32.57"/>
    <col collapsed="false" customWidth="true" hidden="false" outlineLevel="0" max="3" min="3" style="0" width="10.67"/>
    <col collapsed="false" customWidth="true" hidden="false" outlineLevel="0" max="4" min="4" style="0" width="10.57"/>
    <col collapsed="false" customWidth="true" hidden="false" outlineLevel="0" max="5" min="5" style="0" width="14.81"/>
    <col collapsed="false" customWidth="true" hidden="false" outlineLevel="0" max="6" min="6" style="0" width="13.61"/>
    <col collapsed="false" customWidth="true" hidden="false" outlineLevel="0" max="7" min="7" style="0" width="10.26"/>
    <col collapsed="false" customWidth="true" hidden="false" outlineLevel="0" max="8" min="8" style="0" width="28.87"/>
    <col collapsed="false" customWidth="true" hidden="false" outlineLevel="0" max="9" min="9" style="0" width="17.1"/>
    <col collapsed="false" customWidth="true" hidden="false" outlineLevel="0" max="10" min="10" style="0" width="24.61"/>
    <col collapsed="false" customWidth="true" hidden="false" outlineLevel="0" max="11" min="11" style="0" width="10.26"/>
    <col collapsed="false" customWidth="true" hidden="false" outlineLevel="0" max="12" min="12" style="0" width="28.1"/>
    <col collapsed="false" customWidth="true" hidden="false" outlineLevel="0" max="13" min="13" style="0" width="17.1"/>
    <col collapsed="false" customWidth="true" hidden="false" outlineLevel="0" max="20" min="14" style="0" width="10.26"/>
    <col collapsed="false" customWidth="true" hidden="false" outlineLevel="0" max="21" min="21" style="0" width="17.1"/>
  </cols>
  <sheetData>
    <row r="1" customFormat="false" ht="12.8" hidden="false" customHeight="false" outlineLevel="0" collapsed="false">
      <c r="F1" s="0" t="s">
        <v>205</v>
      </c>
      <c r="R1" s="299" t="s">
        <v>182</v>
      </c>
      <c r="S1" s="299"/>
      <c r="T1" s="299"/>
      <c r="U1" s="300" t="s">
        <v>183</v>
      </c>
    </row>
    <row r="2" customFormat="false" ht="12.8" hidden="false" customHeight="false" outlineLevel="0" collapsed="false">
      <c r="E2" s="0" t="s">
        <v>184</v>
      </c>
      <c r="F2" s="0" t="str">
        <f aca="false">_xlfn.TEXTBEFORE(U4, " ")</f>
        <v>955.79</v>
      </c>
      <c r="R2" s="301" t="s">
        <v>185</v>
      </c>
      <c r="S2" s="301" t="s">
        <v>186</v>
      </c>
      <c r="T2" s="301" t="s">
        <v>101</v>
      </c>
      <c r="U2" s="301"/>
    </row>
    <row r="3" customFormat="false" ht="12.8" hidden="false" customHeight="false" outlineLevel="0" collapsed="false">
      <c r="E3" s="0" t="s">
        <v>187</v>
      </c>
      <c r="F3" s="0" t="n">
        <v>1050</v>
      </c>
      <c r="R3" s="301" t="n">
        <v>31</v>
      </c>
      <c r="S3" s="301" t="n">
        <v>21</v>
      </c>
      <c r="T3" s="301" t="n">
        <v>45</v>
      </c>
      <c r="U3" s="301" t="n">
        <f aca="false">(R3*S3*T3)/1000000</f>
        <v>0.029295</v>
      </c>
    </row>
    <row r="4" customFormat="false" ht="12.8" hidden="false" customHeight="false" outlineLevel="0" collapsed="false">
      <c r="R4" s="280"/>
      <c r="S4" s="280"/>
      <c r="T4" s="280" t="n">
        <v>28</v>
      </c>
      <c r="U4" s="280" t="str">
        <f aca="false">ROUND(T4/$U$3,2) &amp; " Cartons"</f>
        <v>955.79 Cartons</v>
      </c>
    </row>
    <row r="5" customFormat="false" ht="15" hidden="false" customHeight="false" outlineLevel="0" collapsed="false">
      <c r="B5" s="281" t="s">
        <v>206</v>
      </c>
      <c r="C5" s="282"/>
      <c r="D5" s="282"/>
      <c r="E5" s="282"/>
      <c r="F5" s="282"/>
      <c r="R5" s="280"/>
      <c r="S5" s="280"/>
      <c r="T5" s="280" t="n">
        <v>68</v>
      </c>
      <c r="U5" s="280" t="str">
        <f aca="false">ROUND(T5/$U$3,2) &amp; " Cartons"</f>
        <v>2321.22 Cartons</v>
      </c>
    </row>
    <row r="6" customFormat="false" ht="28.45" hidden="false" customHeight="false" outlineLevel="0" collapsed="false">
      <c r="A6" s="283"/>
      <c r="B6" s="284" t="s">
        <v>207</v>
      </c>
      <c r="C6" s="285" t="s">
        <v>126</v>
      </c>
      <c r="D6" s="286" t="s">
        <v>208</v>
      </c>
      <c r="E6" s="286" t="s">
        <v>209</v>
      </c>
      <c r="F6" s="286" t="s">
        <v>210</v>
      </c>
    </row>
    <row r="7" customFormat="false" ht="15" hidden="false" customHeight="false" outlineLevel="0" collapsed="false">
      <c r="B7" s="287" t="s">
        <v>211</v>
      </c>
      <c r="C7" s="288"/>
      <c r="D7" s="288" t="n">
        <v>1</v>
      </c>
      <c r="E7" s="288" t="n">
        <v>10</v>
      </c>
      <c r="F7" s="288" t="n">
        <f aca="false">E7*F3</f>
        <v>10500</v>
      </c>
      <c r="I7" s="280"/>
    </row>
    <row r="8" customFormat="false" ht="15" hidden="false" customHeight="false" outlineLevel="0" collapsed="false">
      <c r="B8" s="287" t="s">
        <v>194</v>
      </c>
      <c r="C8" s="288" t="n">
        <v>150</v>
      </c>
      <c r="D8" s="288" t="n">
        <f aca="false">C8</f>
        <v>150</v>
      </c>
      <c r="E8" s="288" t="n">
        <f aca="false">D8*$E$7</f>
        <v>1500</v>
      </c>
      <c r="F8" s="288" t="n">
        <f aca="false">D8*F7</f>
        <v>1575000</v>
      </c>
      <c r="I8" s="290"/>
    </row>
    <row r="9" customFormat="false" ht="15" hidden="false" customHeight="false" outlineLevel="0" collapsed="false">
      <c r="B9" s="287" t="s">
        <v>72</v>
      </c>
      <c r="C9" s="289" t="n">
        <v>0.05</v>
      </c>
      <c r="D9" s="288" t="n">
        <f aca="false">D8*C9</f>
        <v>7.5</v>
      </c>
      <c r="E9" s="288" t="n">
        <f aca="false">D9*$E$7</f>
        <v>75</v>
      </c>
      <c r="F9" s="288" t="n">
        <f aca="false">F8*C9</f>
        <v>78750</v>
      </c>
      <c r="I9" s="280"/>
    </row>
    <row r="10" customFormat="false" ht="15" hidden="false" customHeight="false" outlineLevel="0" collapsed="false">
      <c r="B10" s="287" t="s">
        <v>195</v>
      </c>
      <c r="C10" s="288" t="n">
        <v>25000</v>
      </c>
      <c r="D10" s="291" t="n">
        <f aca="false">C10/F7</f>
        <v>2.38095238095238</v>
      </c>
      <c r="E10" s="291" t="n">
        <f aca="false">D10*$E$7</f>
        <v>23.8095238095238</v>
      </c>
      <c r="F10" s="302" t="n">
        <f aca="false">D10*$F$7</f>
        <v>25000</v>
      </c>
      <c r="I10" s="280"/>
    </row>
    <row r="11" customFormat="false" ht="15" hidden="false" customHeight="false" outlineLevel="0" collapsed="false">
      <c r="B11" s="287" t="s">
        <v>196</v>
      </c>
      <c r="C11" s="288" t="n">
        <v>50000</v>
      </c>
      <c r="D11" s="291" t="n">
        <f aca="false">C11/F7</f>
        <v>4.76190476190476</v>
      </c>
      <c r="E11" s="291" t="n">
        <f aca="false">D11*$E$7</f>
        <v>47.6190476190476</v>
      </c>
      <c r="F11" s="302" t="n">
        <f aca="false">D11*$F$7</f>
        <v>50000</v>
      </c>
      <c r="I11" s="292"/>
    </row>
    <row r="12" customFormat="false" ht="15" hidden="false" customHeight="false" outlineLevel="0" collapsed="false">
      <c r="B12" s="287" t="s">
        <v>197</v>
      </c>
      <c r="C12" s="288"/>
      <c r="D12" s="291" t="n">
        <f aca="false">SUM(D8:D11)</f>
        <v>164.642857142857</v>
      </c>
      <c r="E12" s="291" t="n">
        <f aca="false">D12*$E$7</f>
        <v>1646.42857142857</v>
      </c>
      <c r="F12" s="302" t="n">
        <f aca="false">D12*$F$7</f>
        <v>1728750</v>
      </c>
      <c r="H12" s="294"/>
      <c r="I12" s="280"/>
    </row>
    <row r="13" customFormat="false" ht="15" hidden="false" customHeight="false" outlineLevel="0" collapsed="false">
      <c r="B13" s="287" t="s">
        <v>198</v>
      </c>
      <c r="C13" s="293" t="n">
        <v>0.03</v>
      </c>
      <c r="D13" s="291" t="n">
        <f aca="false">D12*C13</f>
        <v>4.93928571428571</v>
      </c>
      <c r="E13" s="291" t="n">
        <f aca="false">E12*C13</f>
        <v>49.3928571428571</v>
      </c>
      <c r="F13" s="302" t="n">
        <f aca="false">F12*C13</f>
        <v>51862.5</v>
      </c>
      <c r="I13" s="280"/>
    </row>
    <row r="14" customFormat="false" ht="15" hidden="false" customHeight="false" outlineLevel="0" collapsed="false">
      <c r="B14" s="287" t="s">
        <v>15</v>
      </c>
      <c r="C14" s="293"/>
      <c r="D14" s="291" t="n">
        <f aca="false">D13+D12</f>
        <v>169.582142857143</v>
      </c>
      <c r="E14" s="291" t="n">
        <f aca="false">E13+E12</f>
        <v>1695.82142857143</v>
      </c>
      <c r="F14" s="302" t="n">
        <f aca="false">F13+F12</f>
        <v>1780612.5</v>
      </c>
      <c r="I14" s="280"/>
    </row>
    <row r="15" customFormat="false" ht="15" hidden="false" customHeight="false" outlineLevel="0" collapsed="false">
      <c r="B15" s="287" t="s">
        <v>199</v>
      </c>
      <c r="C15" s="288" t="n">
        <v>94</v>
      </c>
      <c r="D15" s="295" t="n">
        <f aca="false">D14/C15</f>
        <v>1.80406534954407</v>
      </c>
      <c r="E15" s="295" t="n">
        <f aca="false">E14/C15</f>
        <v>18.0406534954407</v>
      </c>
      <c r="F15" s="295" t="n">
        <f aca="false">F14/C15</f>
        <v>18942.6861702128</v>
      </c>
    </row>
    <row r="16" customFormat="false" ht="15" hidden="false" customHeight="false" outlineLevel="0" collapsed="false">
      <c r="B16" s="287" t="s">
        <v>118</v>
      </c>
      <c r="C16" s="295" t="n">
        <v>4500</v>
      </c>
      <c r="D16" s="295" t="n">
        <f aca="false">C16/F7</f>
        <v>0.428571428571429</v>
      </c>
      <c r="E16" s="295" t="n">
        <f aca="false">$D$16*E7</f>
        <v>4.28571428571429</v>
      </c>
      <c r="F16" s="295" t="n">
        <f aca="false">$D$16*F7</f>
        <v>4500</v>
      </c>
      <c r="I16" s="280"/>
    </row>
    <row r="17" customFormat="false" ht="15" hidden="false" customHeight="false" outlineLevel="0" collapsed="false">
      <c r="B17" s="287" t="s">
        <v>200</v>
      </c>
      <c r="C17" s="288"/>
      <c r="D17" s="295" t="n">
        <f aca="false">SUM(D15:D16)</f>
        <v>2.2326367781155</v>
      </c>
      <c r="E17" s="295" t="n">
        <f aca="false">SUM(E15:E16)</f>
        <v>22.326367781155</v>
      </c>
      <c r="F17" s="296" t="n">
        <f aca="false">SUM(F15:F16)</f>
        <v>23442.6861702128</v>
      </c>
      <c r="I17" s="280"/>
    </row>
    <row r="18" customFormat="false" ht="15" hidden="false" customHeight="false" outlineLevel="0" collapsed="false">
      <c r="F18" s="303"/>
    </row>
    <row r="19" customFormat="false" ht="14.9" hidden="false" customHeight="false" outlineLevel="0" collapsed="false">
      <c r="B19" s="297" t="s">
        <v>212</v>
      </c>
      <c r="C19" s="297"/>
      <c r="D19" s="297"/>
      <c r="E19" s="297"/>
    </row>
    <row r="20" customFormat="false" ht="14.9" hidden="false" customHeight="false" outlineLevel="0" collapsed="false">
      <c r="B20" s="297" t="s">
        <v>202</v>
      </c>
      <c r="C20" s="297"/>
      <c r="D20" s="297"/>
      <c r="E20" s="297"/>
    </row>
    <row r="21" customFormat="false" ht="14.9" hidden="false" customHeight="false" outlineLevel="0" collapsed="false">
      <c r="B21" s="298" t="s">
        <v>203</v>
      </c>
      <c r="C21" s="298"/>
      <c r="D21" s="298"/>
      <c r="E21" s="298"/>
    </row>
    <row r="22" customFormat="false" ht="14.9" hidden="false" customHeight="false" outlineLevel="0" collapsed="false">
      <c r="B22" s="298" t="s">
        <v>213</v>
      </c>
      <c r="C22" s="298"/>
      <c r="D22" s="298"/>
      <c r="E22" s="298"/>
    </row>
  </sheetData>
  <mergeCells count="4">
    <mergeCell ref="R1:T1"/>
    <mergeCell ref="C5:F5"/>
    <mergeCell ref="B21:E21"/>
    <mergeCell ref="B22:E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I13" activeCellId="0" sqref="I13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10.26"/>
    <col collapsed="false" customWidth="true" hidden="false" outlineLevel="0" max="2" min="2" style="0" width="31.16"/>
    <col collapsed="false" customWidth="true" hidden="false" outlineLevel="0" max="3" min="3" style="0" width="10.67"/>
    <col collapsed="false" customWidth="true" hidden="false" outlineLevel="0" max="4" min="4" style="0" width="10.26"/>
    <col collapsed="false" customWidth="true" hidden="false" outlineLevel="0" max="5" min="5" style="0" width="17.31"/>
    <col collapsed="false" customWidth="true" hidden="false" outlineLevel="0" max="6" min="6" style="0" width="13.61"/>
    <col collapsed="false" customWidth="true" hidden="false" outlineLevel="0" max="9" min="7" style="0" width="10.26"/>
    <col collapsed="false" customWidth="true" hidden="false" outlineLevel="0" max="10" min="10" style="0" width="24.61"/>
    <col collapsed="false" customWidth="true" hidden="false" outlineLevel="0" max="11" min="11" style="0" width="10.26"/>
    <col collapsed="false" customWidth="true" hidden="false" outlineLevel="0" max="12" min="12" style="0" width="28.1"/>
    <col collapsed="false" customWidth="true" hidden="false" outlineLevel="0" max="20" min="13" style="0" width="10.26"/>
  </cols>
  <sheetData>
    <row r="1" customFormat="false" ht="12.8" hidden="false" customHeight="false" outlineLevel="0" collapsed="false">
      <c r="F1" s="0" t="s">
        <v>205</v>
      </c>
      <c r="Q1" s="277" t="s">
        <v>182</v>
      </c>
      <c r="R1" s="277"/>
      <c r="S1" s="277"/>
      <c r="T1" s="278" t="s">
        <v>183</v>
      </c>
    </row>
    <row r="2" customFormat="false" ht="12.8" hidden="false" customHeight="false" outlineLevel="0" collapsed="false">
      <c r="E2" s="0" t="s">
        <v>184</v>
      </c>
      <c r="F2" s="0" t="str">
        <f aca="false">_xlfn.TEXTBEFORE(T4, " ")</f>
        <v>291.67</v>
      </c>
      <c r="Q2" s="279" t="s">
        <v>185</v>
      </c>
      <c r="R2" s="279" t="s">
        <v>186</v>
      </c>
      <c r="S2" s="279" t="s">
        <v>101</v>
      </c>
      <c r="T2" s="279"/>
    </row>
    <row r="3" customFormat="false" ht="12.8" hidden="false" customHeight="false" outlineLevel="0" collapsed="false">
      <c r="E3" s="0" t="s">
        <v>187</v>
      </c>
      <c r="F3" s="0" t="n">
        <v>290</v>
      </c>
      <c r="Q3" s="279" t="n">
        <v>60</v>
      </c>
      <c r="R3" s="279" t="n">
        <v>40</v>
      </c>
      <c r="S3" s="279" t="n">
        <v>40</v>
      </c>
      <c r="T3" s="279" t="n">
        <f aca="false">(Q3*R3*S3)/1000000</f>
        <v>0.096</v>
      </c>
    </row>
    <row r="4" customFormat="false" ht="12.8" hidden="false" customHeight="false" outlineLevel="0" collapsed="false">
      <c r="G4" s="0" t="n">
        <v>340</v>
      </c>
      <c r="Q4" s="280"/>
      <c r="R4" s="280"/>
      <c r="S4" s="280" t="n">
        <v>28</v>
      </c>
      <c r="T4" s="280" t="str">
        <f aca="false">ROUND(S4/$T$3,2) &amp; " Cartons"</f>
        <v>291.67 Cartons</v>
      </c>
    </row>
    <row r="5" customFormat="false" ht="15" hidden="false" customHeight="false" outlineLevel="0" collapsed="false">
      <c r="B5" s="281" t="s">
        <v>214</v>
      </c>
      <c r="C5" s="282"/>
      <c r="D5" s="282"/>
      <c r="E5" s="282"/>
      <c r="F5" s="282"/>
      <c r="Q5" s="280"/>
      <c r="R5" s="280"/>
      <c r="S5" s="280" t="n">
        <v>68</v>
      </c>
      <c r="T5" s="280" t="str">
        <f aca="false">ROUND(S5/$T$3,2) &amp; " Cartons"</f>
        <v>708.33 Cartons</v>
      </c>
    </row>
    <row r="6" customFormat="false" ht="28.45" hidden="false" customHeight="false" outlineLevel="0" collapsed="false">
      <c r="A6" s="283"/>
      <c r="B6" s="284" t="s">
        <v>215</v>
      </c>
      <c r="C6" s="285" t="s">
        <v>126</v>
      </c>
      <c r="D6" s="286" t="s">
        <v>216</v>
      </c>
      <c r="E6" s="286" t="s">
        <v>217</v>
      </c>
      <c r="F6" s="286" t="s">
        <v>192</v>
      </c>
    </row>
    <row r="7" customFormat="false" ht="15" hidden="false" customHeight="false" outlineLevel="0" collapsed="false">
      <c r="B7" s="287" t="s">
        <v>193</v>
      </c>
      <c r="C7" s="288"/>
      <c r="D7" s="288" t="n">
        <v>1</v>
      </c>
      <c r="E7" s="288" t="n">
        <v>2000</v>
      </c>
      <c r="F7" s="288" t="n">
        <f aca="false">E7*F3</f>
        <v>580000</v>
      </c>
    </row>
    <row r="8" customFormat="false" ht="15" hidden="false" customHeight="false" outlineLevel="0" collapsed="false">
      <c r="B8" s="287" t="s">
        <v>194</v>
      </c>
      <c r="C8" s="288" t="n">
        <v>50</v>
      </c>
      <c r="D8" s="288" t="n">
        <f aca="false">C8</f>
        <v>50</v>
      </c>
      <c r="E8" s="288" t="n">
        <f aca="false">D8*$E$7</f>
        <v>100000</v>
      </c>
      <c r="F8" s="288" t="n">
        <f aca="false">D8*F7</f>
        <v>29000000</v>
      </c>
      <c r="K8" s="280"/>
    </row>
    <row r="9" customFormat="false" ht="15" hidden="false" customHeight="false" outlineLevel="0" collapsed="false">
      <c r="B9" s="287" t="s">
        <v>72</v>
      </c>
      <c r="C9" s="289" t="n">
        <v>0.05</v>
      </c>
      <c r="D9" s="288" t="n">
        <f aca="false">D8*C9</f>
        <v>2.5</v>
      </c>
      <c r="E9" s="288" t="n">
        <f aca="false">D9*$E$7</f>
        <v>5000</v>
      </c>
      <c r="F9" s="288" t="n">
        <f aca="false">F8*C9</f>
        <v>1450000</v>
      </c>
      <c r="K9" s="290"/>
    </row>
    <row r="10" customFormat="false" ht="15" hidden="false" customHeight="false" outlineLevel="0" collapsed="false">
      <c r="B10" s="287" t="s">
        <v>195</v>
      </c>
      <c r="C10" s="288" t="n">
        <v>25000</v>
      </c>
      <c r="D10" s="291" t="n">
        <f aca="false">C10/F7</f>
        <v>0.0431034482758621</v>
      </c>
      <c r="E10" s="291" t="n">
        <f aca="false">D10*$E$7</f>
        <v>86.2068965517241</v>
      </c>
      <c r="F10" s="288" t="n">
        <f aca="false">D10*$F$7</f>
        <v>25000</v>
      </c>
      <c r="K10" s="280"/>
    </row>
    <row r="11" customFormat="false" ht="15" hidden="false" customHeight="false" outlineLevel="0" collapsed="false">
      <c r="B11" s="287" t="s">
        <v>196</v>
      </c>
      <c r="C11" s="288" t="n">
        <v>50000</v>
      </c>
      <c r="D11" s="291" t="n">
        <f aca="false">C11/F7</f>
        <v>0.0862068965517241</v>
      </c>
      <c r="E11" s="291" t="n">
        <f aca="false">D11*$E$7</f>
        <v>172.413793103448</v>
      </c>
      <c r="F11" s="288" t="n">
        <f aca="false">D11*$F$7</f>
        <v>50000</v>
      </c>
      <c r="K11" s="280"/>
    </row>
    <row r="12" customFormat="false" ht="15" hidden="false" customHeight="false" outlineLevel="0" collapsed="false">
      <c r="B12" s="287" t="s">
        <v>197</v>
      </c>
      <c r="C12" s="288"/>
      <c r="D12" s="291" t="n">
        <f aca="false">SUM(D8:D11)</f>
        <v>52.6293103448276</v>
      </c>
      <c r="E12" s="291" t="n">
        <f aca="false">D12*$E$7</f>
        <v>105258.620689655</v>
      </c>
      <c r="F12" s="288" t="n">
        <f aca="false">D12*$F$7</f>
        <v>30525000</v>
      </c>
      <c r="K12" s="292"/>
    </row>
    <row r="13" customFormat="false" ht="15" hidden="false" customHeight="false" outlineLevel="0" collapsed="false">
      <c r="B13" s="287" t="s">
        <v>198</v>
      </c>
      <c r="C13" s="293" t="n">
        <v>0.03</v>
      </c>
      <c r="D13" s="291" t="n">
        <f aca="false">D12*C13</f>
        <v>1.57887931034483</v>
      </c>
      <c r="E13" s="291" t="n">
        <f aca="false">E12*C13</f>
        <v>3157.75862068966</v>
      </c>
      <c r="F13" s="288" t="n">
        <f aca="false">F12*C13</f>
        <v>915750</v>
      </c>
      <c r="J13" s="294"/>
      <c r="K13" s="280"/>
    </row>
    <row r="14" customFormat="false" ht="15" hidden="false" customHeight="false" outlineLevel="0" collapsed="false">
      <c r="B14" s="287" t="s">
        <v>15</v>
      </c>
      <c r="C14" s="293"/>
      <c r="D14" s="291" t="n">
        <f aca="false">D13+D12</f>
        <v>54.2081896551724</v>
      </c>
      <c r="E14" s="291" t="n">
        <f aca="false">E13+E12</f>
        <v>108416.379310345</v>
      </c>
      <c r="F14" s="288" t="n">
        <f aca="false">F13+F12</f>
        <v>31440750</v>
      </c>
      <c r="J14" s="294"/>
      <c r="K14" s="280"/>
    </row>
    <row r="15" customFormat="false" ht="15" hidden="false" customHeight="false" outlineLevel="0" collapsed="false">
      <c r="B15" s="287" t="s">
        <v>199</v>
      </c>
      <c r="C15" s="288" t="n">
        <v>94</v>
      </c>
      <c r="D15" s="295" t="n">
        <f aca="false">D14/C15</f>
        <v>0.576682868672047</v>
      </c>
      <c r="E15" s="295" t="n">
        <f aca="false">E14/C15</f>
        <v>1153.36573734409</v>
      </c>
      <c r="F15" s="295" t="n">
        <f aca="false">F14/C15</f>
        <v>334476.063829787</v>
      </c>
      <c r="K15" s="280"/>
    </row>
    <row r="16" customFormat="false" ht="15" hidden="false" customHeight="false" outlineLevel="0" collapsed="false">
      <c r="B16" s="287" t="s">
        <v>118</v>
      </c>
      <c r="C16" s="295" t="n">
        <v>4500</v>
      </c>
      <c r="D16" s="295" t="n">
        <f aca="false">C16/F7</f>
        <v>0.00775862068965517</v>
      </c>
      <c r="E16" s="295" t="n">
        <f aca="false">$D$16*E7</f>
        <v>15.5172413793103</v>
      </c>
      <c r="F16" s="295" t="n">
        <f aca="false">$D$16*F7</f>
        <v>4500</v>
      </c>
    </row>
    <row r="17" customFormat="false" ht="15" hidden="false" customHeight="false" outlineLevel="0" collapsed="false">
      <c r="B17" s="287" t="s">
        <v>200</v>
      </c>
      <c r="C17" s="288"/>
      <c r="D17" s="295" t="n">
        <f aca="false">SUM(D15:D16)</f>
        <v>0.584441489361702</v>
      </c>
      <c r="E17" s="295" t="n">
        <f aca="false">SUM(E15:E16)</f>
        <v>1168.8829787234</v>
      </c>
      <c r="F17" s="296" t="n">
        <f aca="false">SUM(F15:F16)</f>
        <v>338976.063829787</v>
      </c>
      <c r="K17" s="280"/>
    </row>
    <row r="18" customFormat="false" ht="12.8" hidden="false" customHeight="false" outlineLevel="0" collapsed="false">
      <c r="K18" s="280"/>
    </row>
    <row r="19" customFormat="false" ht="14.9" hidden="false" customHeight="false" outlineLevel="0" collapsed="false">
      <c r="B19" s="297" t="s">
        <v>218</v>
      </c>
      <c r="C19" s="297"/>
      <c r="D19" s="297"/>
      <c r="E19" s="297"/>
    </row>
    <row r="20" customFormat="false" ht="14.9" hidden="false" customHeight="false" outlineLevel="0" collapsed="false">
      <c r="B20" s="297" t="s">
        <v>202</v>
      </c>
      <c r="C20" s="297"/>
      <c r="D20" s="297"/>
      <c r="E20" s="297"/>
    </row>
    <row r="21" customFormat="false" ht="14.9" hidden="false" customHeight="false" outlineLevel="0" collapsed="false">
      <c r="B21" s="298" t="s">
        <v>203</v>
      </c>
      <c r="C21" s="298"/>
      <c r="D21" s="298"/>
      <c r="E21" s="298"/>
    </row>
    <row r="22" customFormat="false" ht="14.9" hidden="false" customHeight="false" outlineLevel="0" collapsed="false">
      <c r="B22" s="298" t="s">
        <v>219</v>
      </c>
      <c r="C22" s="298"/>
      <c r="D22" s="298"/>
      <c r="E22" s="298"/>
    </row>
  </sheetData>
  <mergeCells count="4">
    <mergeCell ref="Q1:S1"/>
    <mergeCell ref="C5:F5"/>
    <mergeCell ref="B21:E21"/>
    <mergeCell ref="B22:E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22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J15" activeCellId="0" sqref="J15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10.26"/>
    <col collapsed="false" customWidth="true" hidden="false" outlineLevel="0" max="2" min="2" style="0" width="31.16"/>
    <col collapsed="false" customWidth="true" hidden="false" outlineLevel="0" max="3" min="3" style="0" width="12.2"/>
    <col collapsed="false" customWidth="true" hidden="false" outlineLevel="0" max="5" min="4" style="0" width="11.22"/>
    <col collapsed="false" customWidth="true" hidden="false" outlineLevel="0" max="6" min="6" style="0" width="12.09"/>
    <col collapsed="false" customWidth="true" hidden="false" outlineLevel="0" max="7" min="7" style="0" width="15.25"/>
    <col collapsed="false" customWidth="true" hidden="false" outlineLevel="0" max="14" min="8" style="0" width="10.26"/>
    <col collapsed="false" customWidth="true" hidden="false" outlineLevel="0" max="15" min="15" style="0" width="17.1"/>
  </cols>
  <sheetData>
    <row r="1" customFormat="false" ht="12.8" hidden="false" customHeight="false" outlineLevel="0" collapsed="false">
      <c r="L1" s="277" t="s">
        <v>182</v>
      </c>
      <c r="M1" s="277"/>
      <c r="N1" s="277"/>
      <c r="O1" s="278" t="s">
        <v>183</v>
      </c>
    </row>
    <row r="2" customFormat="false" ht="12.8" hidden="false" customHeight="false" outlineLevel="0" collapsed="false">
      <c r="F2" s="0" t="n">
        <v>20</v>
      </c>
      <c r="G2" s="0" t="n">
        <v>2200</v>
      </c>
      <c r="L2" s="279" t="s">
        <v>185</v>
      </c>
      <c r="M2" s="279" t="s">
        <v>186</v>
      </c>
      <c r="N2" s="279" t="s">
        <v>101</v>
      </c>
      <c r="O2" s="279"/>
    </row>
    <row r="3" customFormat="false" ht="12.8" hidden="false" customHeight="false" outlineLevel="0" collapsed="false">
      <c r="L3" s="279" t="n">
        <v>40</v>
      </c>
      <c r="M3" s="279" t="n">
        <v>30</v>
      </c>
      <c r="N3" s="279" t="n">
        <v>25</v>
      </c>
      <c r="O3" s="279" t="n">
        <f aca="false">(L3*M3*N3)/1000000</f>
        <v>0.03</v>
      </c>
    </row>
    <row r="4" customFormat="false" ht="12.8" hidden="false" customHeight="false" outlineLevel="0" collapsed="false">
      <c r="L4" s="280"/>
      <c r="M4" s="280"/>
      <c r="N4" s="280" t="n">
        <v>28</v>
      </c>
      <c r="O4" s="280" t="str">
        <f aca="false">ROUND(N4/$O$3,2) &amp; " Cartons"</f>
        <v>933.33 Cartons</v>
      </c>
    </row>
    <row r="5" customFormat="false" ht="12.8" hidden="false" customHeight="false" outlineLevel="0" collapsed="false">
      <c r="B5" s="304" t="s">
        <v>220</v>
      </c>
      <c r="L5" s="280"/>
      <c r="M5" s="280"/>
      <c r="N5" s="280" t="n">
        <v>68</v>
      </c>
      <c r="O5" s="280" t="str">
        <f aca="false">ROUND(N5/$O$3,2) &amp; " Cartons"</f>
        <v>2266.67 Cartons</v>
      </c>
    </row>
    <row r="6" customFormat="false" ht="42.05" hidden="false" customHeight="false" outlineLevel="0" collapsed="false">
      <c r="B6" s="284" t="s">
        <v>221</v>
      </c>
      <c r="C6" s="285" t="s">
        <v>126</v>
      </c>
      <c r="D6" s="286" t="s">
        <v>222</v>
      </c>
      <c r="E6" s="286" t="s">
        <v>223</v>
      </c>
      <c r="F6" s="286" t="s">
        <v>224</v>
      </c>
      <c r="G6" s="286" t="s">
        <v>210</v>
      </c>
    </row>
    <row r="7" customFormat="false" ht="15" hidden="false" customHeight="false" outlineLevel="0" collapsed="false">
      <c r="B7" s="305" t="s">
        <v>211</v>
      </c>
      <c r="C7" s="306"/>
      <c r="D7" s="306" t="n">
        <v>1</v>
      </c>
      <c r="E7" s="306" t="n">
        <v>0.5</v>
      </c>
      <c r="F7" s="306" t="n">
        <f aca="false">F2*E7</f>
        <v>10</v>
      </c>
      <c r="G7" s="306" t="n">
        <f aca="false">F7*G2</f>
        <v>22000</v>
      </c>
    </row>
    <row r="8" customFormat="false" ht="15" hidden="false" customHeight="false" outlineLevel="0" collapsed="false">
      <c r="B8" s="305" t="s">
        <v>194</v>
      </c>
      <c r="C8" s="306" t="n">
        <v>400</v>
      </c>
      <c r="D8" s="306" t="n">
        <f aca="false">C8</f>
        <v>400</v>
      </c>
      <c r="E8" s="306" t="n">
        <f aca="false">D8*$E$7</f>
        <v>200</v>
      </c>
      <c r="F8" s="306" t="n">
        <f aca="false">D8*$F$7</f>
        <v>4000</v>
      </c>
      <c r="G8" s="306" t="n">
        <f aca="false">D8*$G$7</f>
        <v>8800000</v>
      </c>
    </row>
    <row r="9" customFormat="false" ht="15" hidden="false" customHeight="false" outlineLevel="0" collapsed="false">
      <c r="B9" s="305" t="s">
        <v>72</v>
      </c>
      <c r="C9" s="307" t="n">
        <v>0.05</v>
      </c>
      <c r="D9" s="306" t="n">
        <f aca="false">C9*D8</f>
        <v>20</v>
      </c>
      <c r="E9" s="306" t="n">
        <f aca="false">D9*$E$7</f>
        <v>10</v>
      </c>
      <c r="F9" s="306" t="n">
        <f aca="false">D9*$F$7</f>
        <v>200</v>
      </c>
      <c r="G9" s="306" t="n">
        <f aca="false">D9*$G$7</f>
        <v>440000</v>
      </c>
    </row>
    <row r="10" customFormat="false" ht="15" hidden="false" customHeight="false" outlineLevel="0" collapsed="false">
      <c r="B10" s="305" t="s">
        <v>195</v>
      </c>
      <c r="C10" s="306" t="n">
        <v>25000</v>
      </c>
      <c r="D10" s="308" t="n">
        <f aca="false">C10/G7</f>
        <v>1.13636363636364</v>
      </c>
      <c r="E10" s="308" t="n">
        <f aca="false">D10*$E$7</f>
        <v>0.568181818181818</v>
      </c>
      <c r="F10" s="308" t="n">
        <f aca="false">D10*$F$7</f>
        <v>11.3636363636364</v>
      </c>
      <c r="G10" s="306" t="n">
        <f aca="false">D10*$G$7</f>
        <v>25000</v>
      </c>
    </row>
    <row r="11" customFormat="false" ht="15" hidden="false" customHeight="false" outlineLevel="0" collapsed="false">
      <c r="B11" s="305" t="s">
        <v>196</v>
      </c>
      <c r="C11" s="306" t="n">
        <v>50000</v>
      </c>
      <c r="D11" s="308" t="n">
        <f aca="false">C11/G7</f>
        <v>2.27272727272727</v>
      </c>
      <c r="E11" s="308" t="n">
        <f aca="false">D11*$E$7</f>
        <v>1.13636363636364</v>
      </c>
      <c r="F11" s="308" t="n">
        <f aca="false">D11*$F$7</f>
        <v>22.7272727272727</v>
      </c>
      <c r="G11" s="306" t="n">
        <f aca="false">D11*$G$7</f>
        <v>50000</v>
      </c>
    </row>
    <row r="12" customFormat="false" ht="15" hidden="false" customHeight="false" outlineLevel="0" collapsed="false">
      <c r="B12" s="305" t="s">
        <v>197</v>
      </c>
      <c r="C12" s="306"/>
      <c r="D12" s="308" t="n">
        <f aca="false">SUM(D8:D11)</f>
        <v>423.409090909091</v>
      </c>
      <c r="E12" s="308" t="n">
        <f aca="false">D12*$E$7</f>
        <v>211.704545454545</v>
      </c>
      <c r="F12" s="308" t="n">
        <f aca="false">D12*$F$7</f>
        <v>4234.09090909091</v>
      </c>
      <c r="G12" s="306" t="n">
        <f aca="false">D12*$G$7</f>
        <v>9315000</v>
      </c>
    </row>
    <row r="13" customFormat="false" ht="15" hidden="false" customHeight="false" outlineLevel="0" collapsed="false">
      <c r="B13" s="305" t="s">
        <v>198</v>
      </c>
      <c r="C13" s="307" t="n">
        <v>0.03</v>
      </c>
      <c r="D13" s="308" t="n">
        <f aca="false">D12*C13</f>
        <v>12.7022727272727</v>
      </c>
      <c r="E13" s="308" t="n">
        <f aca="false">D13*$E$7</f>
        <v>6.35113636363636</v>
      </c>
      <c r="F13" s="308" t="n">
        <f aca="false">D13*$F$7</f>
        <v>127.022727272727</v>
      </c>
      <c r="G13" s="306" t="n">
        <f aca="false">D13*$G$7</f>
        <v>279450</v>
      </c>
    </row>
    <row r="14" customFormat="false" ht="15" hidden="false" customHeight="false" outlineLevel="0" collapsed="false">
      <c r="B14" s="305" t="s">
        <v>15</v>
      </c>
      <c r="C14" s="306"/>
      <c r="D14" s="308" t="n">
        <f aca="false">D13+D12</f>
        <v>436.111363636364</v>
      </c>
      <c r="E14" s="308" t="n">
        <f aca="false">D14*$E$7</f>
        <v>218.055681818182</v>
      </c>
      <c r="F14" s="308" t="n">
        <f aca="false">D14*$F$7</f>
        <v>4361.11363636364</v>
      </c>
      <c r="G14" s="306" t="n">
        <f aca="false">D14*$G$7</f>
        <v>9594450</v>
      </c>
    </row>
    <row r="15" customFormat="false" ht="15" hidden="false" customHeight="false" outlineLevel="0" collapsed="false">
      <c r="B15" s="305" t="s">
        <v>199</v>
      </c>
      <c r="C15" s="306" t="n">
        <v>94</v>
      </c>
      <c r="D15" s="309" t="n">
        <f aca="false">D14/C15</f>
        <v>4.63948259187621</v>
      </c>
      <c r="E15" s="309" t="n">
        <f aca="false">D15*$E$7</f>
        <v>2.3197412959381</v>
      </c>
      <c r="F15" s="309" t="n">
        <f aca="false">D15*$F$7</f>
        <v>46.3948259187621</v>
      </c>
      <c r="G15" s="309" t="n">
        <f aca="false">D15*$G$7</f>
        <v>102068.617021277</v>
      </c>
    </row>
    <row r="16" customFormat="false" ht="15" hidden="false" customHeight="false" outlineLevel="0" collapsed="false">
      <c r="B16" s="305" t="s">
        <v>118</v>
      </c>
      <c r="C16" s="310" t="n">
        <v>4500</v>
      </c>
      <c r="D16" s="309" t="n">
        <f aca="false">C16/G7</f>
        <v>0.204545454545455</v>
      </c>
      <c r="E16" s="309" t="n">
        <f aca="false">D16*$E$7</f>
        <v>0.102272727272727</v>
      </c>
      <c r="F16" s="309" t="n">
        <f aca="false">D16*$F$7</f>
        <v>2.04545454545455</v>
      </c>
      <c r="G16" s="309" t="n">
        <f aca="false">D16*$G$7</f>
        <v>4500</v>
      </c>
    </row>
    <row r="17" customFormat="false" ht="15" hidden="false" customHeight="false" outlineLevel="0" collapsed="false">
      <c r="B17" s="305" t="s">
        <v>200</v>
      </c>
      <c r="C17" s="306"/>
      <c r="D17" s="309" t="n">
        <f aca="false">D16+D15</f>
        <v>4.84402804642166</v>
      </c>
      <c r="E17" s="309" t="n">
        <f aca="false">D17*$E$7</f>
        <v>2.42201402321083</v>
      </c>
      <c r="F17" s="309" t="n">
        <f aca="false">D17*$F$7</f>
        <v>48.4402804642166</v>
      </c>
      <c r="G17" s="311" t="n">
        <f aca="false">D17*$G$7</f>
        <v>106568.617021277</v>
      </c>
    </row>
    <row r="18" customFormat="false" ht="4.5" hidden="false" customHeight="true" outlineLevel="0" collapsed="false"/>
    <row r="19" customFormat="false" ht="14.9" hidden="false" customHeight="false" outlineLevel="0" collapsed="false">
      <c r="B19" s="297" t="s">
        <v>225</v>
      </c>
      <c r="C19" s="297"/>
      <c r="D19" s="297"/>
      <c r="E19" s="297"/>
    </row>
    <row r="20" customFormat="false" ht="14.9" hidden="false" customHeight="false" outlineLevel="0" collapsed="false">
      <c r="B20" s="297" t="s">
        <v>202</v>
      </c>
      <c r="C20" s="297"/>
      <c r="D20" s="297"/>
      <c r="E20" s="297"/>
    </row>
    <row r="21" customFormat="false" ht="14.9" hidden="false" customHeight="false" outlineLevel="0" collapsed="false">
      <c r="B21" s="298" t="s">
        <v>203</v>
      </c>
      <c r="C21" s="298"/>
      <c r="D21" s="298"/>
      <c r="E21" s="298"/>
    </row>
    <row r="22" customFormat="false" ht="14.9" hidden="false" customHeight="false" outlineLevel="0" collapsed="false">
      <c r="B22" s="298" t="s">
        <v>226</v>
      </c>
      <c r="C22" s="298"/>
      <c r="D22" s="298"/>
      <c r="E22" s="298"/>
    </row>
  </sheetData>
  <mergeCells count="3">
    <mergeCell ref="L1:N1"/>
    <mergeCell ref="B21:E21"/>
    <mergeCell ref="B22:E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1400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2022-07-13T08:33:36Z</dcterms:created>
  <dc:creator>User</dc:creator>
  <dc:description/>
  <dc:language>en-IN</dc:language>
  <cp:lastModifiedBy/>
  <dcterms:modified xsi:type="dcterms:W3CDTF">2026-06-15T13:15:28Z</dcterms:modified>
  <cp:revision>175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